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Introduction" sheetId="1" r:id="rId3"/>
    <sheet state="visible" name="Instructions" sheetId="2" r:id="rId4"/>
    <sheet state="visible" name="HECVAT" sheetId="3" r:id="rId5"/>
    <sheet state="visible" name="System Diagram" sheetId="4" r:id="rId6"/>
    <sheet state="visible" name="Standards Crosswalk" sheetId="5" r:id="rId7"/>
    <sheet state="visible" name="Analyst Report" sheetId="6" r:id="rId8"/>
    <sheet state="visible" name="Summary Report" sheetId="7" r:id="rId9"/>
    <sheet state="hidden" name="Crosswalk Detail" sheetId="8" r:id="rId10"/>
    <sheet state="hidden" name="Questions" sheetId="9" r:id="rId11"/>
    <sheet state="hidden" name="High Risk Non-Compliant" sheetId="10" r:id="rId12"/>
    <sheet state="visible" name="Acknowledgments" sheetId="11" r:id="rId13"/>
    <sheet state="hidden" name="ChangeLog" sheetId="12" r:id="rId14"/>
    <sheet state="hidden" name="Values" sheetId="13" r:id="rId15"/>
  </sheets>
  <definedNames>
    <definedName localSheetId="1" name="_ftnref1">Instructions!$A$4</definedName>
    <definedName localSheetId="1" name="_ftn1">Instructions!$A$35</definedName>
  </definedNames>
  <calcPr/>
  <pivotCaches>
    <pivotCache cacheId="0" r:id="rId16"/>
  </pivotCaches>
</workbook>
</file>

<file path=xl/comments1.xml><?xml version="1.0" encoding="utf-8"?>
<comments xmlns:r="http://schemas.openxmlformats.org/officeDocument/2006/relationships" xmlns="http://schemas.openxmlformats.org/spreadsheetml/2006/main">
  <authors>
    <author/>
  </authors>
  <commentList>
    <comment authorId="0" ref="B26">
      <text>
        <t xml:space="preserve">The Institution views hosted solutions such as AWS, Rackspace, Azure, and other PaaS/SaaS offerings as third parties. If services such as these are used in your environment, respond "Yes".</t>
      </text>
    </comment>
    <comment authorId="0" ref="B32">
      <text>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33">
      <text>
        <t xml:space="preserve">CSA STAR Self Assessment is free and open to all cloud providers and allows them to submit self assessment reports that document compliance to CSA-published best practices.
Website: https://cloudsecurityalliance.org/star/self-assessment/</t>
      </text>
    </comment>
    <comment authorId="0" ref="B34">
      <text>
        <t xml:space="preserve">The CSA STAR Certification is a rigorous third party independent assessment of the security of a cloud service provider. The technology-neutral certification leverages the requirements of the ISO/IEC 27001 management system standard together with the CSA Cloud Controls Matrix, a specified set of criteria that measures the capability levels of the cloud service.
Website: https://cloudsecurityalliance.org/star/certification/</t>
      </text>
    </comment>
    <comment authorId="0" ref="B36">
      <text>
        <t xml:space="preserve">The Federal Information Security Management Act (FISMA) is United States legislation that defines a comprehensive framework to protect government information, operations and assets against natural or man-made threats.
Website: http://www.dhs.gov/FISMA
----
slight wording change
	-Josh Callahan</t>
      </text>
    </comment>
    <comment authorId="0" ref="B172">
      <text>
        <t xml:space="preserve">https://uptimeinstitute.com/tiers
</t>
      </text>
    </comment>
  </commentList>
</comments>
</file>

<file path=xl/comments2.xml><?xml version="1.0" encoding="utf-8"?>
<comments xmlns:r="http://schemas.openxmlformats.org/officeDocument/2006/relationships" xmlns="http://schemas.openxmlformats.org/spreadsheetml/2006/main">
  <authors>
    <author/>
  </authors>
  <commentList>
    <comment authorId="0" ref="B24">
      <text>
        <t xml:space="preserve">The Institution views hosted solutions such as AWS, Rackspace, Azure, and other PaaS/SaaS offerings as third parties. If services such as these are used in your environment, respond "Yes".</t>
      </text>
    </comment>
    <comment authorId="0" ref="B30">
      <text>
        <t xml:space="preserve">In 2011, Statement on Standards for Attestation Engagements (SSAE) No. 16 took effect and replaced SAS 70 as the authoritative guidance for performing a service auditor's examination.  SSAE 16 established a new attestation standard (AT 801) to contain the professional guidance. 
You can learn more about SSAE 16 at www.ssae16.com.</t>
      </text>
    </comment>
    <comment authorId="0" ref="B31">
      <text>
        <t xml:space="preserve">CSA STAR Self Assessment is free and open to all cloud providers and allows them to submit self assessment reports that document compliance to CSA-published best practices.
Website: https://cloudsecurityalliance.org/star/self-assessment/</t>
      </text>
    </comment>
    <comment authorId="0" ref="B32">
      <text>
        <t xml:space="preserve">The CSA STAR Certification is a rigorous third party independent assessment of the security of a cloud service provider. The technology-neutral certification leverages the requirements of the ISO/IEC 27001 management system standard together with the CSA Cloud Controls Matrix, a specified set of criteria that measures the capability levels of the cloud service.
Website: https://cloudsecurityalliance.org/star/certification/</t>
      </text>
    </comment>
    <comment authorId="0" ref="B34">
      <text>
        <t xml:space="preserve">The Federal Information Security Management Act (FISMA) is United States legislation that defines a comprehensive framework to protect government information, operations and assets against natural or man-made threats.
Website: http://www.dhs.gov/FISMA
----
slight wording change
	-Josh Callahan</t>
      </text>
    </comment>
    <comment authorId="0" ref="B170">
      <text>
        <t xml:space="preserve">https://uptimeinstitute.com/tiers
</t>
      </text>
    </comment>
  </commentList>
</comments>
</file>

<file path=xl/sharedStrings.xml><?xml version="1.0" encoding="utf-8"?>
<sst xmlns="http://schemas.openxmlformats.org/spreadsheetml/2006/main" count="7017" uniqueCount="2839">
  <si>
    <t>Higher Education Cloud Vendor Assessment Tool</t>
  </si>
  <si>
    <t>Version 2.0</t>
  </si>
  <si>
    <t>Higher Education Cloud Vendor Assessment Tool - Instructions</t>
  </si>
  <si>
    <t>HEISC Shared Assessments Working Group</t>
  </si>
  <si>
    <t>Target Audience</t>
  </si>
  <si>
    <t>DATE-01</t>
  </si>
  <si>
    <t>Date</t>
  </si>
  <si>
    <t>mm/dd/yyyy</t>
  </si>
  <si>
    <t>General Information</t>
  </si>
  <si>
    <r>
      <t xml:space="preserve">These instructions are for </t>
    </r>
    <r>
      <rPr>
        <rFont val="Verdana"/>
        <b/>
        <color rgb="FF000000"/>
        <sz val="11.0"/>
      </rPr>
      <t>vendors</t>
    </r>
    <r>
      <rPr>
        <rFont val="Verdana"/>
        <color rgb="FF000000"/>
        <sz val="11.0"/>
      </rPr>
      <t xml:space="preserve"> interested in providing the Institution with a software and/or a service. 
</t>
    </r>
    <r>
      <rPr>
        <rFont val="Verdana"/>
        <color rgb="FF000000"/>
        <sz val="11.0"/>
        <u/>
      </rPr>
      <t>This worksheet should not be completed by an Institution entity</t>
    </r>
    <r>
      <rPr>
        <rFont val="Verdana"/>
        <color rgb="FF000000"/>
        <sz val="11.0"/>
      </rPr>
      <t>. The purpose of this worksheet is for the vendor to submit robust security safeguard information in regards to the product (software/service) being assessed in the Institution's assessment process.</t>
    </r>
  </si>
  <si>
    <t>Document Layout</t>
  </si>
  <si>
    <r>
      <t xml:space="preserve">There are five main sections of the Higher Education Cloud Vendor Assessment Tool, all listed below and outlined in more detail. This document is designed to have the first two sections populated first; after the Qualifiers section is completed it can be populated in any order. Within each section, answer each question top-to-bottom. Some questions are nested and may be blocked out via formatting based on previous answers. Populating this document in the correct order improves efficiency.                                  </t>
    </r>
    <r>
      <rPr>
        <rFont val="Verdana"/>
        <b/>
        <color rgb="FFC00000"/>
        <sz val="11.0"/>
      </rPr>
      <t>Do not overwrite selection values (data validation) in column C of the HECVAT tab</t>
    </r>
    <r>
      <rPr>
        <rFont val="Verdana"/>
        <color rgb="FF000000"/>
        <sz val="11.0"/>
      </rPr>
      <t>.</t>
    </r>
  </si>
  <si>
    <r>
      <t xml:space="preserve">In order to protect the Institution and its systems, vendors whose products and/or services will access and/or host institutional data must complete the Higher Education Cloud Vendor Assessment Tool (HECVAT). Throughout this tool, anywhere where the term data is used, this is an all-encompassing term including at least data and metadata. Answers will be reviewed by Institution security analysts upon submittal. This process will assist the institution in preventing breaches of protected information and comply with Institution policy, state, and federal law. This is intended for use by vendors participating in a Third Party Security Assessment and should be completed by a vendor. Review the </t>
    </r>
    <r>
      <rPr>
        <rFont val="Verdana"/>
        <i/>
        <color rgb="FF000000"/>
        <sz val="12.0"/>
      </rPr>
      <t>Instructions</t>
    </r>
    <r>
      <rPr>
        <rFont val="Verdana"/>
        <color rgb="FF000000"/>
        <sz val="12.0"/>
      </rPr>
      <t xml:space="preserve"> tab for further guidance.</t>
    </r>
  </si>
  <si>
    <t>GNRL-01 through GNRL-08; populated by the Vendor</t>
  </si>
  <si>
    <r>
      <t xml:space="preserve">This section is self-explanatory; product specifics and contact information. </t>
    </r>
    <r>
      <rPr>
        <rFont val="Verdana"/>
        <b/>
        <color rgb="FF000000"/>
        <sz val="11.0"/>
      </rPr>
      <t>GNRL-01 through GNRL-10 should be populated by the Vendor</t>
    </r>
    <r>
      <rPr>
        <rFont val="Verdana"/>
        <color rgb="FF000000"/>
        <sz val="11.0"/>
      </rPr>
      <t>. GNRL-11 and GNRL-12 are for Institution use only.</t>
    </r>
  </si>
  <si>
    <t>Qualifiers</t>
  </si>
  <si>
    <r>
      <t xml:space="preserve">Populate this section </t>
    </r>
    <r>
      <rPr>
        <rFont val="Verdana"/>
        <b/>
        <color rgb="FF000000"/>
        <sz val="11.0"/>
      </rPr>
      <t>completely</t>
    </r>
    <r>
      <rPr>
        <rFont val="Verdana"/>
        <color rgb="FF000000"/>
        <sz val="11.0"/>
      </rPr>
      <t xml:space="preserve"> before continuing. Answers in this section can determine which sections will be required for this assessment. By answering "No" to Qualifiers, their matched sections become optional and are highlighted in orange.</t>
    </r>
  </si>
  <si>
    <t>Documentation</t>
  </si>
  <si>
    <t>Focused on external documentation, the Institution is interested in the frameworks that guide your security strategy and what has been done to certify these implementations.</t>
  </si>
  <si>
    <t>Company Overview</t>
  </si>
  <si>
    <t>This section is focused on company background, size, and business area experience.</t>
  </si>
  <si>
    <t>Safeguards</t>
  </si>
  <si>
    <t>The remainder of the document consists of various safeguards, grouped generally by section.</t>
  </si>
  <si>
    <t>GNRL-01</t>
  </si>
  <si>
    <t>In sections where vendor input is required there are only one or two columns that need modification, Vendor Answers and Additional Information, columns C and D respectively (see Figure 1 below). You will see that sometimes C and D are separate and other times are merged. If they are separate, C will be a selectable, drop-down box and any supporting information should be added to column D. If C and D are merged, the question is looking for the answer to be in narrative form. At the far right is a column titled “Guidance”. After answering questions, check this column to ensure you have submitted information/documentation to sufficiently answer the question. Use the “Additional Information” column to provide any requested details.</t>
  </si>
  <si>
    <t>Vendor Name</t>
  </si>
  <si>
    <t xml:space="preserve">Figure 1: </t>
  </si>
  <si>
    <t>Ivy.ai, Inc.</t>
  </si>
  <si>
    <t>Optional Safeguards Based on Qualifiers</t>
  </si>
  <si>
    <t xml:space="preserve">Not all questions are relevant to all vendors. Qualifiers are used to make whole sections optional to vendors depending on the scope of product usage and the data involved in the engagement being assessed. Sections that become optional have the section titles and questions highlighted in orange (see Figure 2). </t>
  </si>
  <si>
    <t>GNRL-02</t>
  </si>
  <si>
    <t>Product Name</t>
  </si>
  <si>
    <t>Ivy</t>
  </si>
  <si>
    <t xml:space="preserve">Figure 2: </t>
  </si>
  <si>
    <t>Definitions and Data Zones</t>
  </si>
  <si>
    <t>GNRL-03</t>
  </si>
  <si>
    <t>Product Description</t>
  </si>
  <si>
    <t>Artificially Intelligent Chatbot</t>
  </si>
  <si>
    <t>Institution</t>
  </si>
  <si>
    <t>GNRL-04</t>
  </si>
  <si>
    <t>Web Link to Product Privacy Notice</t>
  </si>
  <si>
    <t>http://ivy.ai/privacy</t>
  </si>
  <si>
    <t>Any school, college, or university using the Higher Education Cloud Vendor Assessment Tool</t>
  </si>
  <si>
    <t>Institution Data Zone</t>
  </si>
  <si>
    <t>The country/region in which an Institution is located, including all laws and regulations in-scope within that country/region.</t>
  </si>
  <si>
    <t>Vendor Data Zone</t>
  </si>
  <si>
    <t>The country/region in which a vendor is headquartered and/or serves its products/services, including all laws and regulations in-scope within that country/region.</t>
  </si>
  <si>
    <r>
      <t xml:space="preserve">Customers from different regions may expect vary protections of data (e.g. GDPR), this is the Institution Data Zone. Vendors may handle data differently depending on the country or region where data is stored, this is the Vendor Data Zone.
As a vendor, if your security practices vary based on your region of operation, </t>
    </r>
    <r>
      <rPr>
        <rFont val="Verdana"/>
        <color rgb="FF000000"/>
        <sz val="11.0"/>
        <u/>
      </rPr>
      <t>you may want to populate a HECVAT in the context for each security zone</t>
    </r>
    <r>
      <rPr>
        <rFont val="Verdana"/>
        <color rgb="FF000000"/>
        <sz val="11.0"/>
      </rPr>
      <t xml:space="preserve"> (strategy). That said, Institutions from different data zones may still use vendor responses from other state Data Zones. If your security practices are the same across all regions of operations, indicate "All" in your Vendor Data Zone.</t>
    </r>
  </si>
  <si>
    <t>Proceed to the next tab, Instructions.</t>
  </si>
  <si>
    <r>
      <rPr>
        <rFont val="Verdana"/>
        <b/>
        <color rgb="FF000000"/>
        <sz val="11.0"/>
      </rPr>
      <t>Example A</t>
    </r>
    <r>
      <rPr>
        <rFont val="Verdana"/>
        <color rgb="FF000000"/>
        <sz val="11.0"/>
      </rPr>
      <t xml:space="preserve">: If vendor ABC is headquartered and stores data in Canada, and provides services to only customers in Canada, ABC should state "Canada" in both Data Zone fields.
</t>
    </r>
    <r>
      <rPr>
        <rFont val="Verdana"/>
        <b/>
        <color rgb="FF000000"/>
        <sz val="11.0"/>
      </rPr>
      <t>Example B</t>
    </r>
    <r>
      <rPr>
        <rFont val="Verdana"/>
        <color rgb="FF000000"/>
        <sz val="11.0"/>
      </rPr>
      <t xml:space="preserve">: If vendor ABC is headquartered and stores data in Canada, and additionally provides services to customers in the United Kingdom, ABC may want to assure customers in the United Kingdom that their data is handled properly for their region. In that case, ABC should state "Canada" in the Vendor Data Zone and "United Kingdom" in the Institution Data Zone.
</t>
    </r>
    <r>
      <rPr>
        <rFont val="Verdana"/>
        <b/>
        <color rgb="FF000000"/>
        <sz val="11.0"/>
      </rPr>
      <t>Example C</t>
    </r>
    <r>
      <rPr>
        <rFont val="Verdana"/>
        <color rgb="FF000000"/>
        <sz val="11.0"/>
      </rPr>
      <t>: If your security strategy is broad and doesn't fit this statement model, provide a brief summary in each field and the Institution's Security Analyst can assess your response.</t>
    </r>
  </si>
  <si>
    <t>GNRL-05</t>
  </si>
  <si>
    <t>Vendor Contact Name</t>
  </si>
  <si>
    <t>Michal Oglodek</t>
  </si>
  <si>
    <t>GNRL-06</t>
  </si>
  <si>
    <t>Vendor Contact Title</t>
  </si>
  <si>
    <t>CTO</t>
  </si>
  <si>
    <t>Data Reporting</t>
  </si>
  <si>
    <t>GNRL-07</t>
  </si>
  <si>
    <t>Vendor Contact Email</t>
  </si>
  <si>
    <t>michal@ivy.ai</t>
  </si>
  <si>
    <t>To update data in the Report tabs, click Refresh All in the Menu tab. Input provided in the HECVAT tab is assessed a preliminary score pending Institution's Security Analyst review.</t>
  </si>
  <si>
    <t>Proceed to the next tab, HECVAT.</t>
  </si>
  <si>
    <t>GNRL-08</t>
  </si>
  <si>
    <t>Vendor Contact Phone Number</t>
  </si>
  <si>
    <t>919-882-8539</t>
  </si>
  <si>
    <t>GNRL-09</t>
  </si>
  <si>
    <t>See Instructions tab for guidance</t>
  </si>
  <si>
    <t>For Institution's Security Analysts</t>
  </si>
  <si>
    <t xml:space="preserve">Raw vendor answers can be viewed in the Cloud Vendor Assessment Tool tab. To begin your assessment, review the Analyst Report tab, ensuring that you select the appropriate security standard used in your institution (cell B7) before you begin. Select complaince states for the outstanding non-compliant or short-answer questions in column G. Once all subjective questions are evaluated and compliance indicated, move to the Summary Report tab. To update the report's data, select Refresh All in the Data menu. Review details in the Summary Report and based on your assessment, follow-up with vendor for clarification(s) or add the Summary Report output to your Institution's reporting documents. </t>
  </si>
  <si>
    <t>GNRL-10</t>
  </si>
  <si>
    <t>GNRL-11 and GNRL-12; populated by the Institution's Security Office</t>
  </si>
  <si>
    <t>GNRL-11</t>
  </si>
  <si>
    <t>Institution's Security Analyst/Engineer</t>
  </si>
  <si>
    <t>Institution's Security Analyst/Engineer Name</t>
  </si>
  <si>
    <t>GNRL-12</t>
  </si>
  <si>
    <t>Assessment Contact</t>
  </si>
  <si>
    <t>ticket#@yourdomain.edu</t>
  </si>
  <si>
    <t>Instructions</t>
  </si>
  <si>
    <r>
      <rPr>
        <rFont val="Verdana"/>
        <b/>
        <color rgb="FF000000"/>
        <sz val="12.0"/>
      </rPr>
      <t xml:space="preserve">Step 1: </t>
    </r>
    <r>
      <rPr>
        <rFont val="Verdana"/>
        <color rgb="FF000000"/>
        <sz val="12.0"/>
      </rPr>
      <t xml:space="preserve">Complete the </t>
    </r>
    <r>
      <rPr>
        <rFont val="Verdana"/>
        <i/>
        <color rgb="FF000000"/>
        <sz val="12.0"/>
      </rPr>
      <t>Qualifiers</t>
    </r>
    <r>
      <rPr>
        <rFont val="Verdana"/>
        <color rgb="FF000000"/>
        <sz val="12.0"/>
      </rPr>
      <t xml:space="preserve"> section first. </t>
    </r>
    <r>
      <rPr>
        <rFont val="Verdana"/>
        <b/>
        <color rgb="FF000000"/>
        <sz val="12.0"/>
      </rPr>
      <t xml:space="preserve">Step 2: </t>
    </r>
    <r>
      <rPr>
        <rFont val="Verdana"/>
        <color rgb="FF000000"/>
        <sz val="12.0"/>
      </rPr>
      <t xml:space="preserve">Complete each section answering each set of questions in order from top to bottom; the built-in formatting logic relies on this order. </t>
    </r>
    <r>
      <rPr>
        <rFont val="Verdana"/>
        <b/>
        <color rgb="FF000000"/>
        <sz val="12.0"/>
      </rPr>
      <t xml:space="preserve">Step 3: </t>
    </r>
    <r>
      <rPr>
        <rFont val="Verdana"/>
        <color rgb="FF000000"/>
        <sz val="12.0"/>
      </rPr>
      <t>Submit the completed Higher Education Cloud Vendor Assessment Tool (HECVAT) to the Institution according to institutional procedures.</t>
    </r>
  </si>
  <si>
    <t>Vendor Answers</t>
  </si>
  <si>
    <t>Additional Information</t>
  </si>
  <si>
    <t>Guidance</t>
  </si>
  <si>
    <r>
      <t xml:space="preserve">The Institution conducts Third Party Security Assessments on a variety of third parties. As such, not all assessment questions are relevant to each party. To alleviate complexity, a "qualifier" strategy is implemented and allows for various parties to utilize this common documentation instrument. </t>
    </r>
    <r>
      <rPr>
        <rFont val="Verdana"/>
        <b/>
        <color rgb="FF000000"/>
        <sz val="12.0"/>
      </rPr>
      <t>Responses to the following questions will determine the need to answer additional questions below</t>
    </r>
    <r>
      <rPr>
        <rFont val="Verdana"/>
        <color rgb="FF000000"/>
        <sz val="12.0"/>
      </rPr>
      <t xml:space="preserve">. </t>
    </r>
  </si>
  <si>
    <t>QUAL-01</t>
  </si>
  <si>
    <t>Does your product process protected health information (PHI) or any data covered by the Health Insurance Portability and Accountability Act?</t>
  </si>
  <si>
    <t>No</t>
  </si>
  <si>
    <t>QUAL-02</t>
  </si>
  <si>
    <t>Does the vended product host/support a mobile application? (e.g. app)</t>
  </si>
  <si>
    <t>QUAL-03</t>
  </si>
  <si>
    <t>Will institution data be shared with or hosted by any third parties? (e.g. any entity not wholly-owned by your company is considered a third-party)</t>
  </si>
  <si>
    <t>QUAL-04</t>
  </si>
  <si>
    <t>Do you have a Business Continuity Plan (BCP)?</t>
  </si>
  <si>
    <t>Yes</t>
  </si>
  <si>
    <t>QUAL-05</t>
  </si>
  <si>
    <t>Do you have a Disaster Recovery Plan (DRP)?</t>
  </si>
  <si>
    <t>QUAL-06</t>
  </si>
  <si>
    <t>Will data regulated by PCI DSS reside in the vended product?</t>
  </si>
  <si>
    <t>QUAL-07</t>
  </si>
  <si>
    <t>Is your company a consulting firm providing only consultation to the Institution?</t>
  </si>
  <si>
    <t>DOCU-01</t>
  </si>
  <si>
    <t>Have you undergone a SSAE 16 audit?</t>
  </si>
  <si>
    <t>SSAE Audit targeted for August 2019</t>
  </si>
  <si>
    <t>DOCU-02</t>
  </si>
  <si>
    <t>Have you completed the Cloud Security Alliance (CSA) self assessment or CAIQ?</t>
  </si>
  <si>
    <t>No plans at this point</t>
  </si>
  <si>
    <t>DOCU-03</t>
  </si>
  <si>
    <t>Have you received the Cloud Security Alliance STAR certification?</t>
  </si>
  <si>
    <t>DOCU-04</t>
  </si>
  <si>
    <t>Do you conform with a specific industry standard security framework? (e.g. NIST Cybersecurity Framework, ISO 27001, etc.)</t>
  </si>
  <si>
    <t>We are working to be compliant with ISO 27001 by end of Q3</t>
  </si>
  <si>
    <t>DOCU-05</t>
  </si>
  <si>
    <t>Are you compliant with FISMA standards?</t>
  </si>
  <si>
    <t>DOCU-06</t>
  </si>
  <si>
    <t>Does your organization have a data privacy policy?</t>
  </si>
  <si>
    <t>Data privacy policy is outlined in agreement</t>
  </si>
  <si>
    <t>COMP-01</t>
  </si>
  <si>
    <t>Describe your organization’s business background and ownership structure, including all parent and subsidiary relationships.</t>
  </si>
  <si>
    <t>Ivy.ai, Inc. is a Delaware C-Corporation</t>
  </si>
  <si>
    <t>Include circumstances that may involve off-shoring or multi-national agreements.</t>
  </si>
  <si>
    <t>COMP-02</t>
  </si>
  <si>
    <t>Describe how long your organization has conducted business in this product area.</t>
  </si>
  <si>
    <t>3 years</t>
  </si>
  <si>
    <t>Include the number of years and in what capacity.</t>
  </si>
  <si>
    <t>COMP-03</t>
  </si>
  <si>
    <t>Do you have existing higher education customers?</t>
  </si>
  <si>
    <t>COMP-04</t>
  </si>
  <si>
    <t>Have you had a significant breach in the last 5 years?</t>
  </si>
  <si>
    <t>Higher Education Cloud Vendor Assessment Tool - Standards Crosswalk</t>
  </si>
  <si>
    <t>COMP-05</t>
  </si>
  <si>
    <t>Do you have a dedicated Information Security staff or office?</t>
  </si>
  <si>
    <t xml:space="preserve">2 security experts: Michal Oglodek (CTO), Patryk Majewski, VP </t>
  </si>
  <si>
    <t>COMP-06</t>
  </si>
  <si>
    <t>Do you have a dedicated Software and System Development team(s)? (e.g. Customer Support, Implementation, Product Management, etc.)</t>
  </si>
  <si>
    <t>5 developers, 2 QA</t>
  </si>
  <si>
    <t>COMP-07</t>
  </si>
  <si>
    <t>Use this area to share information about your environment that will assist those who are assessing your company data security program.</t>
  </si>
  <si>
    <t>Share any details that would help information security analysts assess your product.</t>
  </si>
  <si>
    <t>THRD-01</t>
  </si>
  <si>
    <t>Describe how you perform security assessments of third party companies with which you share data (i.e. hosting providers, cloud services, PaaS, IaaS, SaaS, etc.). Provide a summary of your practices that assures that the third party will be subject to the appropriate standards regarding security, service recoverability, and confidentiality.</t>
  </si>
  <si>
    <t>Ensure that all elements of THRD-01 are clearly stated in your response.</t>
  </si>
  <si>
    <t>THRD-02</t>
  </si>
  <si>
    <t>Provide a brief description for why each of these third parties will have access to institution data.</t>
  </si>
  <si>
    <t>If more space is needed to sufficiently answer this question, provide reference to the document or add it as an appendix.</t>
  </si>
  <si>
    <t>THRD-03</t>
  </si>
  <si>
    <t>What legal agreements (i.e. contracts) do you have in place with these third parties that address liability in the event of a data breach?</t>
  </si>
  <si>
    <t>Provide sufficient detail for each legal agreement in place.</t>
  </si>
  <si>
    <t>THRD-04</t>
  </si>
  <si>
    <t>Describe or provide references to your third party management strategy or provide additional information that may help analysts better understand your environment and how it relates to third-party solutions.</t>
  </si>
  <si>
    <t>Robust answers from the vendor improve the quality and efficiency of the security assessment process.</t>
  </si>
  <si>
    <t>CONS-01</t>
  </si>
  <si>
    <t>CIS Critical Security Controls v6.1</t>
  </si>
  <si>
    <t>Will the consulting take place on-premises?</t>
  </si>
  <si>
    <t>HIPAA</t>
  </si>
  <si>
    <t>ISO 27002:2013</t>
  </si>
  <si>
    <t>NIST Cybersecurity Framework</t>
  </si>
  <si>
    <t>NIST SP 800-171r1</t>
  </si>
  <si>
    <t>NIST SP 800-53r4</t>
  </si>
  <si>
    <t>PCI DSS</t>
  </si>
  <si>
    <t>CONS-02</t>
  </si>
  <si>
    <t>Will the consultant require access to Institution's network resources?</t>
  </si>
  <si>
    <t>CSC 13</t>
  </si>
  <si>
    <t>CONS-03</t>
  </si>
  <si>
    <t>Will the consultant require access to hardware in the Institution's data centers?</t>
  </si>
  <si>
    <t>Discovery</t>
  </si>
  <si>
    <t>18.1.1</t>
  </si>
  <si>
    <t>ID.GV-3</t>
  </si>
  <si>
    <t>RA-2</t>
  </si>
  <si>
    <t>CONS-04</t>
  </si>
  <si>
    <t>Will the consultant require an account within the Institution's domain (@*.edu)?</t>
  </si>
  <si>
    <t>CSC 18</t>
  </si>
  <si>
    <t>IA-2, IA-3, CM-3, SI-2</t>
  </si>
  <si>
    <t>CONS-05</t>
  </si>
  <si>
    <t>Has the consultant received training on [sensitive, HIPAA, PCI, etc.] data handling?</t>
  </si>
  <si>
    <t>ID.AM-6, PR.AT-3</t>
  </si>
  <si>
    <t>CSC 10</t>
  </si>
  <si>
    <t>17.1.2</t>
  </si>
  <si>
    <t>PR.IP-9</t>
  </si>
  <si>
    <t>AU-7, AU-9, IR-4</t>
  </si>
  <si>
    <t>CONS-06</t>
  </si>
  <si>
    <t>Will any data be transferred to the consultant's possession?</t>
  </si>
  <si>
    <t>CA-5, PL-2</t>
  </si>
  <si>
    <t>PCI Scope, Discovery</t>
  </si>
  <si>
    <t>CSC 14</t>
  </si>
  <si>
    <t>CONS-07</t>
  </si>
  <si>
    <t>PCI Scope</t>
  </si>
  <si>
    <t>Is it encrypted (at rest) while in the consultant's possession?</t>
  </si>
  <si>
    <t>CONS-08</t>
  </si>
  <si>
    <t>Will the consultant need remote access to the Institution's network or systems?</t>
  </si>
  <si>
    <t>15.2.1</t>
  </si>
  <si>
    <t>SA-9</t>
  </si>
  <si>
    <t>PE-2, PE-3, PE-5, PE-11, PE-13, PE-14, SA-9</t>
  </si>
  <si>
    <t>CONS-09</t>
  </si>
  <si>
    <t>Can we restrict that access based on source IP address?</t>
  </si>
  <si>
    <t>12.1, Scope</t>
  </si>
  <si>
    <t>§164.308(a)(1)(i)</t>
  </si>
  <si>
    <t>18.1.4</t>
  </si>
  <si>
    <t>APPL-01</t>
  </si>
  <si>
    <t>Do you support role-based access control (RBAC) for end-users?</t>
  </si>
  <si>
    <t>APPL-02</t>
  </si>
  <si>
    <t>Do you support role-based access control (RBAC) for system administrators?</t>
  </si>
  <si>
    <t>Please explain in detail any involvement in business-related litigation in the last five years by your organization, its management, or the staff that will be providing the administrative services.</t>
  </si>
  <si>
    <t>APPL-03</t>
  </si>
  <si>
    <t>Can employees access customer data remotely?</t>
  </si>
  <si>
    <t>12.8, 12.5</t>
  </si>
  <si>
    <t>APPL-04</t>
  </si>
  <si>
    <t>Can you provide overall system and/or application architecture diagrams including a full description of the data communications architecture for all components of the system?</t>
  </si>
  <si>
    <t>14.2.1</t>
  </si>
  <si>
    <t>See System Diagram Tab</t>
  </si>
  <si>
    <t xml:space="preserve">SA-3, SA-15, SC-2, PM-2, PM-10, SI-5,PM-3 </t>
  </si>
  <si>
    <t>APPL-05</t>
  </si>
  <si>
    <t xml:space="preserve">Does the system provide data input validation and error messages? </t>
  </si>
  <si>
    <t>15.1.3</t>
  </si>
  <si>
    <t>ID.AM-6, PR-AT-3</t>
  </si>
  <si>
    <t>3.8.2</t>
  </si>
  <si>
    <t>MP-2, RA-3</t>
  </si>
  <si>
    <t>APPL-06</t>
  </si>
  <si>
    <t xml:space="preserve">Do you employ a single-tenant environment? </t>
  </si>
  <si>
    <t>PS-3</t>
  </si>
  <si>
    <t>PS-5</t>
  </si>
  <si>
    <t>APPL-07</t>
  </si>
  <si>
    <t>What operating system(s) is/are leveraged by the system(s)/application(s) that will have access to institution's data?</t>
  </si>
  <si>
    <t>We are hosted on Google Cloud using Linux VMs</t>
  </si>
  <si>
    <t>List all operating systems and the roles that are fulfilled by each.</t>
  </si>
  <si>
    <t>APPL-08</t>
  </si>
  <si>
    <t>Have you or any third party you contract with that may have access or allow access to the institution's data experienced a breach?</t>
  </si>
  <si>
    <t>9.1.2</t>
  </si>
  <si>
    <t>3.1.2, 3.1.3</t>
  </si>
  <si>
    <t>AC-4</t>
  </si>
  <si>
    <t>9.2.6</t>
  </si>
  <si>
    <t>3.1.2</t>
  </si>
  <si>
    <t>APPL-09</t>
  </si>
  <si>
    <t xml:space="preserve">Describe or provide a reference to additional software/products necessary to implement a functional system on either the backend or user-interface side of the system. </t>
  </si>
  <si>
    <t>No other software products are necessary</t>
  </si>
  <si>
    <t>9</t>
  </si>
  <si>
    <t>MP-2</t>
  </si>
  <si>
    <t>Describe the products and how they will be implemented.</t>
  </si>
  <si>
    <t>10</t>
  </si>
  <si>
    <t>3.1.2, 3.1.19, 3.8.2</t>
  </si>
  <si>
    <t>APPL-10</t>
  </si>
  <si>
    <t xml:space="preserve">Describe or provide a reference to the overall system and/or application architecture(s), including appropriate diagrams. Include a full description of the data communications architecture for all components of the system. </t>
  </si>
  <si>
    <t>Ensure that all parts of APPL-10 are clearly stated in your response. Submit architecture diagrams along with this fully-populated HECVAT.</t>
  </si>
  <si>
    <t>APPL-11</t>
  </si>
  <si>
    <t>Are databases used in the system segregated from front-end systems? (e.g. web and application servers)</t>
  </si>
  <si>
    <t xml:space="preserve">Database cluster is segregated on separate vm. </t>
  </si>
  <si>
    <t>APPL-12</t>
  </si>
  <si>
    <t xml:space="preserve">Describe or provide a reference to all web-enabled features and functionality of the system (i.e. accessed via a web-based interface). </t>
  </si>
  <si>
    <t>Accessed via a web-based interface</t>
  </si>
  <si>
    <t>Include both end-user and adminstrative features and functions.</t>
  </si>
  <si>
    <t>APPL-13</t>
  </si>
  <si>
    <r>
      <t xml:space="preserve">Are there any OS and/or web-browser combinations that are </t>
    </r>
    <r>
      <rPr>
        <rFont val="Verdana"/>
        <color rgb="FF000000"/>
        <sz val="11.0"/>
        <u/>
      </rPr>
      <t>not</t>
    </r>
    <r>
      <rPr>
        <rFont val="Verdana"/>
        <color rgb="FF000000"/>
        <sz val="11.0"/>
      </rPr>
      <t xml:space="preserve"> currently supported?</t>
    </r>
  </si>
  <si>
    <t>All web browser combinations are supported</t>
  </si>
  <si>
    <t>APPL-14</t>
  </si>
  <si>
    <t xml:space="preserve">Can your system take advantage of mobile and/or GPS enabled mobile devices?  </t>
  </si>
  <si>
    <t>https encryption, SSO enabled</t>
  </si>
  <si>
    <t>ID.AM-5</t>
  </si>
  <si>
    <t>CSC 2, CSC 3</t>
  </si>
  <si>
    <t>11.2.6</t>
  </si>
  <si>
    <t>APPL-15</t>
  </si>
  <si>
    <t>Describe or provide a reference to the facilities available in the system to provide separation of duties between security administration and system administration functions.</t>
  </si>
  <si>
    <t>CTO is responsible for system administrator function.  VP of technology is responsible for securing the code.  DBA/CTO are only ones with production DB access.</t>
  </si>
  <si>
    <t>Include a detailed description of how security administration and system administration authority is separated, controls are verified, and logs are reviewed regularly to ensure appropriate use.</t>
  </si>
  <si>
    <t>APPL-16</t>
  </si>
  <si>
    <t>Describe or provide a reference that details how administrator access is handled (e.g. provisioning, principle of least privilege, deprovisioning, etc.)</t>
  </si>
  <si>
    <t>Administrator provisioning is done by: SSO auth, by invitation from the Ivy team, or manually added by the Ivy security team.</t>
  </si>
  <si>
    <t>PR.AC-3, PR.MA-2</t>
  </si>
  <si>
    <t>AC-17; NIST SP 800-46</t>
  </si>
  <si>
    <t>7.x</t>
  </si>
  <si>
    <t>CSC16</t>
  </si>
  <si>
    <t>9.1.1</t>
  </si>
  <si>
    <t>PR.AC-4, PR.PT-3</t>
  </si>
  <si>
    <t>3.4.9</t>
  </si>
  <si>
    <t>CM-11</t>
  </si>
  <si>
    <t>Does your company use role-based access control to define employee access to institution's data?</t>
  </si>
  <si>
    <t xml:space="preserve">Ensure that all parts of APPL-16 are clearly stated in your response. </t>
  </si>
  <si>
    <t>CSC 12</t>
  </si>
  <si>
    <t>PR.PT-3</t>
  </si>
  <si>
    <t>3.1.12, 3.1.13, 3.1.14, 3.1.14, 3.1.15, 3.1.8, 3.1.20, 3.7.5, 3.8.2, 3.13.7</t>
  </si>
  <si>
    <t>AC-3, CM-7; NIST SP 800-46</t>
  </si>
  <si>
    <t>APPL-17</t>
  </si>
  <si>
    <t>CSC 2</t>
  </si>
  <si>
    <t>12.5.1</t>
  </si>
  <si>
    <t>12.8, 4.2</t>
  </si>
  <si>
    <t>APPL-18</t>
  </si>
  <si>
    <t>Describe or provide references explaining how tertiary services are redundant (i.e. DNS, ISP, etc…).</t>
  </si>
  <si>
    <t>LAN/WAN redundancy, POP</t>
  </si>
  <si>
    <t>Ensure that all parts of APPL-18 are clearly stated in your response. The examples given are not exhaustive - elaborate as necessary.</t>
  </si>
  <si>
    <t>ID.AM-2</t>
  </si>
  <si>
    <t>12.1.1</t>
  </si>
  <si>
    <t>ID.AM-1, ID.AM-2, ID.AM-4</t>
  </si>
  <si>
    <t>CA-9, SC-4</t>
  </si>
  <si>
    <t>12.1.4</t>
  </si>
  <si>
    <t>CSC 7</t>
  </si>
  <si>
    <r>
      <t xml:space="preserve">Are there any OS and/or web-browser combinations that are </t>
    </r>
    <r>
      <rPr>
        <rFont val="Verdana"/>
        <color rgb="FF000000"/>
        <sz val="11.0"/>
        <u/>
      </rPr>
      <t>not</t>
    </r>
    <r>
      <rPr>
        <rFont val="Verdana"/>
        <color rgb="FF000000"/>
        <sz val="11.0"/>
      </rPr>
      <t xml:space="preserve"> currently supported?</t>
    </r>
  </si>
  <si>
    <t>AAAI-01</t>
  </si>
  <si>
    <t>Can you enforce password/passphrase aging requirements?</t>
  </si>
  <si>
    <t>9.2.3, 12.1.4</t>
  </si>
  <si>
    <t>3.1.4</t>
  </si>
  <si>
    <t>AC-5</t>
  </si>
  <si>
    <t>12.x</t>
  </si>
  <si>
    <t>CSC 5</t>
  </si>
  <si>
    <t>AAAI-02</t>
  </si>
  <si>
    <t>Can you enforce password/passphrase complexity requirements [provided by the institution]?</t>
  </si>
  <si>
    <t>3.1.1, 3.1.5, 3.1.6, 3.7.1, 3.7.2</t>
  </si>
  <si>
    <t>AC-2, AC-3, AC-6, MA-2, MA-3</t>
  </si>
  <si>
    <t>7.x, 8.x</t>
  </si>
  <si>
    <t>PR.AC-4</t>
  </si>
  <si>
    <t>Scope</t>
  </si>
  <si>
    <t>AAAI-03</t>
  </si>
  <si>
    <t>Does the system have password complexity or length limitations and/or restrictions?</t>
  </si>
  <si>
    <t>Minimum 8; No spaces</t>
  </si>
  <si>
    <t>AAAI-04</t>
  </si>
  <si>
    <t>Do you have documented password/passphrase reset procedures that are currently implemented in the system and/or customer support?</t>
  </si>
  <si>
    <t>Password reset via email</t>
  </si>
  <si>
    <t>AAAI-05</t>
  </si>
  <si>
    <t>Does your web-based interface support authentication, including standards-based single-sign-on? (e.g. InCommon)</t>
  </si>
  <si>
    <t>SSO SAML 2.0</t>
  </si>
  <si>
    <t>AAAI-06</t>
  </si>
  <si>
    <t>Are there any passwords/passphrases hard coded into your systems or products?</t>
  </si>
  <si>
    <t>CSC 16</t>
  </si>
  <si>
    <t>AAAI-07</t>
  </si>
  <si>
    <t>Are user account passwords/passphrases visible in administration modules?</t>
  </si>
  <si>
    <t>9.2.3, 9.3.1, 9.4.3</t>
  </si>
  <si>
    <t>PR.AC-1</t>
  </si>
  <si>
    <t>3.5.6</t>
  </si>
  <si>
    <t>IA-4</t>
  </si>
  <si>
    <t>8.x</t>
  </si>
  <si>
    <t>3.5.7</t>
  </si>
  <si>
    <t>IA-5(1)</t>
  </si>
  <si>
    <t>AAAI-08</t>
  </si>
  <si>
    <t>Are user account passwords/passphrases stored encrypted?</t>
  </si>
  <si>
    <t>3.5.5, 3.5.8</t>
  </si>
  <si>
    <t>2.1, 8.x</t>
  </si>
  <si>
    <t>AAAI-09</t>
  </si>
  <si>
    <t>Describe or provide a reference to the types of authentication, including standards-based single-sign-on (SSO, InCommon), that are supported by the web-based interface?</t>
  </si>
  <si>
    <r>
      <t xml:space="preserve">Does your </t>
    </r>
    <r>
      <rPr>
        <rFont val="Verdana"/>
        <i/>
        <color rgb="FF000000"/>
        <sz val="11.0"/>
      </rPr>
      <t>application</t>
    </r>
    <r>
      <rPr>
        <rFont val="Verdana"/>
        <color rgb="FF000000"/>
        <sz val="11.0"/>
      </rPr>
      <t xml:space="preserve"> and/or user-frontend/portal support multi-factor authentication? (e.g. Duo, Google Authenticator, OTP, etc.)</t>
    </r>
  </si>
  <si>
    <t>9.1.1, 9.2.3, 9.3.1, 9.4.3</t>
  </si>
  <si>
    <t>We support google and SMS</t>
  </si>
  <si>
    <t>3.5.1</t>
  </si>
  <si>
    <t>IA-2, IA-5</t>
  </si>
  <si>
    <t>AAAI-10</t>
  </si>
  <si>
    <r>
      <t xml:space="preserve">Does your </t>
    </r>
    <r>
      <rPr>
        <rFont val="Verdana"/>
        <i/>
        <color rgb="FF000000"/>
        <sz val="11.0"/>
      </rPr>
      <t xml:space="preserve">application </t>
    </r>
    <r>
      <rPr>
        <rFont val="Verdana"/>
        <color rgb="FF000000"/>
        <sz val="11.0"/>
      </rPr>
      <t>support integration with other authentication and authorization systems?  List which ones (such as Active Directory, Kerberos and what version) in Additional Info?</t>
    </r>
  </si>
  <si>
    <t>We can support LDAP but we prefer SSO</t>
  </si>
  <si>
    <t>3.5.10</t>
  </si>
  <si>
    <r>
      <t xml:space="preserve">Does your </t>
    </r>
    <r>
      <rPr>
        <rFont val="Verdana"/>
        <i/>
        <color rgb="FF000000"/>
        <sz val="11.0"/>
      </rPr>
      <t>application</t>
    </r>
    <r>
      <rPr>
        <rFont val="Verdana"/>
        <color rgb="FF000000"/>
        <sz val="11.0"/>
      </rPr>
      <t xml:space="preserve"> and/or user-frontend/portal support multi-factor authentication? (e.g. Duo, Google Authenticator, OTP, etc.)</t>
    </r>
  </si>
  <si>
    <t>3.5.2, 3.5.3</t>
  </si>
  <si>
    <t>IA-5</t>
  </si>
  <si>
    <r>
      <t xml:space="preserve">Does your </t>
    </r>
    <r>
      <rPr>
        <rFont val="Verdana"/>
        <i/>
        <color rgb="FF000000"/>
        <sz val="11.0"/>
      </rPr>
      <t xml:space="preserve">application </t>
    </r>
    <r>
      <rPr>
        <rFont val="Verdana"/>
        <color rgb="FF000000"/>
        <sz val="11.0"/>
      </rPr>
      <t>support integration with other authentication and authorization systems?  List which ones (such as Active Directory, Kerberos and what version) in Additional Info?</t>
    </r>
  </si>
  <si>
    <t>9.4.3</t>
  </si>
  <si>
    <t>PR.AC-1, PR.AC-4</t>
  </si>
  <si>
    <t>AAAI-11</t>
  </si>
  <si>
    <t>Will any external authentication or authorization system be utilized by an application with access to the institution's data?</t>
  </si>
  <si>
    <t>AAAI-12</t>
  </si>
  <si>
    <r>
      <t xml:space="preserve">Does the </t>
    </r>
    <r>
      <rPr>
        <rFont val="Verdana"/>
        <i/>
        <color rgb="FF000000"/>
        <sz val="11.0"/>
      </rPr>
      <t>system</t>
    </r>
    <r>
      <rPr>
        <rFont val="Verdana"/>
        <color rgb="FF000000"/>
        <sz val="11.0"/>
      </rPr>
      <t xml:space="preserve"> (servers/infrastructure) support external authentication services (e.g. Active Directory, LDAP) in place of local authentication?</t>
    </r>
  </si>
  <si>
    <t>AAAI-13</t>
  </si>
  <si>
    <t>Does the system operate in a mixed authentication mode (i.e. external and local authentication)?</t>
  </si>
  <si>
    <r>
      <t xml:space="preserve">Does the </t>
    </r>
    <r>
      <rPr>
        <rFont val="Verdana"/>
        <i/>
        <color rgb="FF000000"/>
        <sz val="11.0"/>
      </rPr>
      <t>system</t>
    </r>
    <r>
      <rPr>
        <rFont val="Verdana"/>
        <color rgb="FF000000"/>
        <sz val="11.0"/>
      </rPr>
      <t xml:space="preserve"> (servers/infrastructure) support external authentication services (e.g. Active Directory, LDAP) in place of local authentication?</t>
    </r>
  </si>
  <si>
    <t>AAAI-14</t>
  </si>
  <si>
    <t>Will any external authentication or authorization system be utilized by a system with access to institution data?</t>
  </si>
  <si>
    <t>3.1.1</t>
  </si>
  <si>
    <t>AAAI-15</t>
  </si>
  <si>
    <t>Are audit logs available that include AT LEAST all of the following; login, logout, actions performed, and source IP address?</t>
  </si>
  <si>
    <t>CSC 6</t>
  </si>
  <si>
    <t>12.4</t>
  </si>
  <si>
    <t>PR.PT-1</t>
  </si>
  <si>
    <t>3.1.7, 3.3.1</t>
  </si>
  <si>
    <t>AC-6(1,3,9), AU-2, AU-2(3), AU-3, AU-7, AU-9(4), AU-12, NIST 800-92</t>
  </si>
  <si>
    <t>10.1, 10.2, 10.3, 10.5, 10.6, 10.7</t>
  </si>
  <si>
    <t>AAAI-16</t>
  </si>
  <si>
    <r>
      <t xml:space="preserve">Describe or provide a reference to the a) system capability to </t>
    </r>
    <r>
      <rPr>
        <rFont val="Verdana"/>
        <b/>
        <color rgb="FF000000"/>
        <sz val="11.0"/>
      </rPr>
      <t>log</t>
    </r>
    <r>
      <rPr>
        <rFont val="Verdana"/>
        <color rgb="FF000000"/>
        <sz val="11.0"/>
      </rPr>
      <t xml:space="preserve"> </t>
    </r>
    <r>
      <rPr>
        <rFont val="Verdana"/>
        <color rgb="FF000000"/>
        <sz val="11.0"/>
        <u/>
      </rPr>
      <t>security/authorization changes</t>
    </r>
    <r>
      <rPr>
        <rFont val="Verdana"/>
        <color rgb="FF000000"/>
        <sz val="11.0"/>
      </rPr>
      <t xml:space="preserve"> as well as </t>
    </r>
    <r>
      <rPr>
        <rFont val="Verdana"/>
        <color rgb="FF000000"/>
        <sz val="11.0"/>
        <u/>
      </rPr>
      <t>user and administrator security events</t>
    </r>
    <r>
      <rPr>
        <rFont val="Verdana"/>
        <color rgb="FF000000"/>
        <sz val="11.0"/>
      </rPr>
      <t xml:space="preserve"> (i.e. physical or electronic)(e.g. login failures, access denied, changes accepted), and b) all requirements necessary to implement logging and monitoring on the system. Include c) information about SIEM/log collector usage.</t>
    </r>
  </si>
  <si>
    <t>3.1.7, 3.3.2, 3.3.3, 3.3.4, 3.3.5, 3.4.3, 3.7.1, 3.7.6, 3.10.4, 3.10.5</t>
  </si>
  <si>
    <t>AU-2(3), AU-6, AU-12, AC-6(9), CM-3, MA-2, MA-5, PE-3</t>
  </si>
  <si>
    <t>10.1, 10.2, 10.3, 10.5, 10.6, 10.7, 9.x</t>
  </si>
  <si>
    <t>AAAI-17</t>
  </si>
  <si>
    <t>Describe or provide a reference to the retention period for those logs, how logs are protected, and whether they are accessible to the customer (and if so, how).</t>
  </si>
  <si>
    <t>3.3.8, 3.3.9</t>
  </si>
  <si>
    <t>AU-9</t>
  </si>
  <si>
    <r>
      <t xml:space="preserve">Describe or provide a reference to the a) system capability to </t>
    </r>
    <r>
      <rPr>
        <rFont val="Verdana"/>
        <b/>
        <color rgb="FF000000"/>
        <sz val="11.0"/>
      </rPr>
      <t>log</t>
    </r>
    <r>
      <rPr>
        <rFont val="Verdana"/>
        <color rgb="FF000000"/>
        <sz val="11.0"/>
      </rPr>
      <t xml:space="preserve"> </t>
    </r>
    <r>
      <rPr>
        <rFont val="Verdana"/>
        <color rgb="FF000000"/>
        <sz val="11.0"/>
        <u/>
      </rPr>
      <t>security/authorization changes</t>
    </r>
    <r>
      <rPr>
        <rFont val="Verdana"/>
        <color rgb="FF000000"/>
        <sz val="11.0"/>
      </rPr>
      <t xml:space="preserve"> as well as </t>
    </r>
    <r>
      <rPr>
        <rFont val="Verdana"/>
        <color rgb="FF000000"/>
        <sz val="11.0"/>
        <u/>
      </rPr>
      <t>user and administrator security events</t>
    </r>
    <r>
      <rPr>
        <rFont val="Verdana"/>
        <color rgb="FF000000"/>
        <sz val="11.0"/>
      </rPr>
      <t xml:space="preserve"> (i.e. physical or electronic)(e.g. login failures, access denied, changes accepted), and b) all requirements necessary to implement logging and monitoring on the system. Include c) information about SIEM/log collector usage.</t>
    </r>
  </si>
  <si>
    <t>Audit logs are kept for all security related events (login/out, login failures, password resets, 2 factor logs)</t>
  </si>
  <si>
    <t>Ensure that all elements of AAAI-16 are clearly stated in your response.</t>
  </si>
  <si>
    <t>These logs will be kept for 3 years prior to the end of the contractual relationship. They can be destroyed on demand if requested by the school.</t>
  </si>
  <si>
    <t>Ensure that all elements of AAAI-17 are clearly stated in your response.</t>
  </si>
  <si>
    <t>BCPL-01</t>
  </si>
  <si>
    <t>Describe or provide a reference to your Business Continuity Plan (BCP).</t>
  </si>
  <si>
    <t>17.1.1</t>
  </si>
  <si>
    <t>3.12.2</t>
  </si>
  <si>
    <t>AU-7, AU-9, IR-4, AC-5, CP-4, CP-10; NIST SP 800-34</t>
  </si>
  <si>
    <t>BCPL-02</t>
  </si>
  <si>
    <t>May the Institution review your BCP and supporting documentation?</t>
  </si>
  <si>
    <t>AC-5, CP-4, CP-10; NIST SP 800-34</t>
  </si>
  <si>
    <t>BCPL-03</t>
  </si>
  <si>
    <t>Is an owner assigned who is responsible for the maintenance and review of the Business Continuity Plan?</t>
  </si>
  <si>
    <t>Our BCP holds proprietary information which we can only provide under NDA.</t>
  </si>
  <si>
    <t>BCPL-04</t>
  </si>
  <si>
    <t>Is there a defined problem/issue escalation plan in your BCP for impacted clients?</t>
  </si>
  <si>
    <t>17</t>
  </si>
  <si>
    <t>Provide a valid URL to your current BCP or submit it along with this fully-populated HECVAT.</t>
  </si>
  <si>
    <t>BCPL-05</t>
  </si>
  <si>
    <t>Is there a documented communication plan in your BCP for impacted clients?</t>
  </si>
  <si>
    <t>Only under NDA.</t>
  </si>
  <si>
    <t>BCPL-06</t>
  </si>
  <si>
    <t xml:space="preserve">Are all components of the BCP reviewed at least annually and updated as needed to reflect change? </t>
  </si>
  <si>
    <t>BCPL-07</t>
  </si>
  <si>
    <t xml:space="preserve">Has your BCP been tested in the last year? </t>
  </si>
  <si>
    <t>17.1.3</t>
  </si>
  <si>
    <t>BCPL-08</t>
  </si>
  <si>
    <t>Does your organization conduct training and awareness activities to validate its employees understanding of their roles and responsibilities during a crisis?</t>
  </si>
  <si>
    <t>CTO is responsible for the creation, review, and updation of the BCP</t>
  </si>
  <si>
    <t>7.2.2, 17.1.3</t>
  </si>
  <si>
    <t>3.2.1, 3.2.2</t>
  </si>
  <si>
    <t>AT-3, AC-5, CP-4, CP-10; NIST SP 800-34</t>
  </si>
  <si>
    <t>BCPL-09</t>
  </si>
  <si>
    <t>Are specific crisis management roles and responsibilities defined and documented?</t>
  </si>
  <si>
    <t>7.2.2, 16.1.1, 17.1.3</t>
  </si>
  <si>
    <t>BCPL-10</t>
  </si>
  <si>
    <t>Does your organization have an alternative business site or a contracted Business Recovery provider?</t>
  </si>
  <si>
    <t>17.2.1</t>
  </si>
  <si>
    <t>BCPL-11</t>
  </si>
  <si>
    <t>Does your organization conduct an annual test of relocating to this alternate site for business recovery purposes?</t>
  </si>
  <si>
    <t>BCPL-12</t>
  </si>
  <si>
    <t>Is this product a core service of your organization, and as such, the top priority during business continuity planning?</t>
  </si>
  <si>
    <t>Affected clients will be notified within 24 hours of interventions taken per BCP</t>
  </si>
  <si>
    <t>Quarterly and on demand as needed</t>
  </si>
  <si>
    <t>CHNG-01</t>
  </si>
  <si>
    <t xml:space="preserve">Do you have a documented and currently followed change management process (CMP)? </t>
  </si>
  <si>
    <t>12.1.2</t>
  </si>
  <si>
    <t>PR.IP-3</t>
  </si>
  <si>
    <t>3.4.3, 3.4.4</t>
  </si>
  <si>
    <t>CM-3, CM-4, CM-5</t>
  </si>
  <si>
    <t>6.4, 6.4.5, 6.4.5.1, 6.4.5.2</t>
  </si>
  <si>
    <t xml:space="preserve">March 2019. Successfully passed automatic failover to second Google Region. </t>
  </si>
  <si>
    <t>CHNG-02</t>
  </si>
  <si>
    <t>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t>
  </si>
  <si>
    <t>PR.IP-3, PR.DS-7</t>
  </si>
  <si>
    <t>3.4.3, 3.4.4, 3.4.5</t>
  </si>
  <si>
    <t>CHNG-03</t>
  </si>
  <si>
    <t>Will the Institution be notified of major changes to your environment that could impact the Institution's security posture?</t>
  </si>
  <si>
    <t>6.4, 12.8, 12.9</t>
  </si>
  <si>
    <t>CHNG-04</t>
  </si>
  <si>
    <t>Do clients have the option to not participate in or postpone an upgrade to a new release?</t>
  </si>
  <si>
    <t>Roles and responsibilities during crisis are defined</t>
  </si>
  <si>
    <t>CHNG-05</t>
  </si>
  <si>
    <t>Describe or provide a reference to your solution support strategy in relation to maintaining software currency. (i.e. how many concurrent versions are you willing to run and support?)</t>
  </si>
  <si>
    <t>12.1, 12.8</t>
  </si>
  <si>
    <t>CHNG-06</t>
  </si>
  <si>
    <t>Identify the most current version of the software. Detail the percentage of live customers that are utilizing the proposed version of the software as well as each version of the software currently in use.</t>
  </si>
  <si>
    <t>CHNG-07</t>
  </si>
  <si>
    <t>Does the system support client customizations from one release to another?</t>
  </si>
  <si>
    <t>Outlined in BCP</t>
  </si>
  <si>
    <t>CHNG-08</t>
  </si>
  <si>
    <r>
      <t xml:space="preserve">Does your organization ensure through policy and procedure (that is currently implemented) that </t>
    </r>
    <r>
      <rPr>
        <rFont val="Verdana"/>
        <color rgb="FF000000"/>
        <sz val="11.0"/>
        <u/>
      </rPr>
      <t>only application software verifiable as authorized, tested, and approved for production</t>
    </r>
    <r>
      <rPr>
        <rFont val="Verdana"/>
        <color rgb="FF000000"/>
        <sz val="11.0"/>
      </rPr>
      <t>, and having met all other requirements and reviews necessary for commissioning, is placed into production?</t>
    </r>
  </si>
  <si>
    <t>PR.DS-6</t>
  </si>
  <si>
    <t>3.4.4</t>
  </si>
  <si>
    <t>CHNG-09</t>
  </si>
  <si>
    <t>Do you have a release schedule for product updates?</t>
  </si>
  <si>
    <t>3.14.4</t>
  </si>
  <si>
    <t>CHNG-10</t>
  </si>
  <si>
    <t>Do you have a technology roadmap, for the next 2 years, for enhancements and bug fixes for the product/service being assessed?</t>
  </si>
  <si>
    <t>CHNG-11</t>
  </si>
  <si>
    <t>Is Institution involvement (i.e. technically or organizationally) required during product updates?</t>
  </si>
  <si>
    <t>CHNG-12</t>
  </si>
  <si>
    <t>Do you have policy and procedure, currently implemented, managing how critical patches are applied to all systems and applications?</t>
  </si>
  <si>
    <t>12.6.1</t>
  </si>
  <si>
    <t>12.1, 12.8, 6.2</t>
  </si>
  <si>
    <t>CHNG-13</t>
  </si>
  <si>
    <t>Do you have policy and procedure, currently implemented, guiding how security risks are mitigated until patches can be applied?</t>
  </si>
  <si>
    <t>§164.308(a)(1)(ii)(B)</t>
  </si>
  <si>
    <t>12.2, 12.8</t>
  </si>
  <si>
    <t>CHNG-14</t>
  </si>
  <si>
    <t>Does your organization conduct an annual test of relocating to an alternate site for business recovery purposes?</t>
  </si>
  <si>
    <t>Are upgrades or system changes installed during off-peak hours or in a manner that does not impact the customer?</t>
  </si>
  <si>
    <t>Once a year during Q1</t>
  </si>
  <si>
    <t>12.1, 12.2, 12.8</t>
  </si>
  <si>
    <t>CHNG-15</t>
  </si>
  <si>
    <t>Do procedures exist to provide that emergency changes are documented and authorized (including after the fact approval)?</t>
  </si>
  <si>
    <t>12.10, 12.8, 6.4</t>
  </si>
  <si>
    <t>DATA-01</t>
  </si>
  <si>
    <t>Do you physically and logically separate Institution's data from that of other customers?</t>
  </si>
  <si>
    <t>PR.AC-2, PR.IP-5</t>
  </si>
  <si>
    <t>3.1.3, 3.8.1</t>
  </si>
  <si>
    <t>AC-4, MP-2, MP-4</t>
  </si>
  <si>
    <t>DATA-02</t>
  </si>
  <si>
    <t>Will Institution's data be stored on any devices (database servers, file servers, SAN, NAS, …) configured with non-RFC 1918/4193 (i.e. publicly routable) IP addresses?</t>
  </si>
  <si>
    <t>(1) determine release objectives 
(2) approve release objectives 
(3) develop software and obtain approval on objectives 
(4) develop release schedule 
(5) obtain approval on release schedule 
(6) build, test, configure 
(7) approve release 
(8) develop communications for customers 
(9) release</t>
  </si>
  <si>
    <t>3.1.22</t>
  </si>
  <si>
    <t>AC-22</t>
  </si>
  <si>
    <t>12.8, 9.x</t>
  </si>
  <si>
    <t>DATA-03</t>
  </si>
  <si>
    <t>Is sensitive data encrypted in transport? (e.g. system-to-client)</t>
  </si>
  <si>
    <t>10.1.1</t>
  </si>
  <si>
    <t>PR.DS-2</t>
  </si>
  <si>
    <t>12.8, 4.1</t>
  </si>
  <si>
    <t>DATA-04</t>
  </si>
  <si>
    <t>Is sensitive data encrypted in storage (e.g. disk encryption, at-rest)?</t>
  </si>
  <si>
    <t>8.2.3, 10.1.1</t>
  </si>
  <si>
    <t>PR.DS-1</t>
  </si>
  <si>
    <t>3.1.19, 3.8.1</t>
  </si>
  <si>
    <t>MP-2, AC-19(5)</t>
  </si>
  <si>
    <t>DATA-05</t>
  </si>
  <si>
    <t>Do you employ or allow any cryptographic modules that do not conform to the Federal Information Processing Standards (FIPS PUB 140-2)?</t>
  </si>
  <si>
    <t>3.8.6, 3.13.11</t>
  </si>
  <si>
    <t>DATA-06</t>
  </si>
  <si>
    <t>Does your system employ encryption technologies when transmitting sensitive information over TCP/IP networks (e.g., SSH, SSL/TLS, VPN)? (e.g. system-to-system and system-to-client)</t>
  </si>
  <si>
    <t>13.2</t>
  </si>
  <si>
    <t>PE-2, PE-3, PE-5, MP-5</t>
  </si>
  <si>
    <t>DATA-07</t>
  </si>
  <si>
    <t>List all locations (i.e. city + datacenter name) where the institution's data will be stored?</t>
  </si>
  <si>
    <t>CSC 1</t>
  </si>
  <si>
    <t>3.8.1</t>
  </si>
  <si>
    <t>DATA-08</t>
  </si>
  <si>
    <t>At the completion of this contract, will data be returned to the institution?</t>
  </si>
  <si>
    <t>8.1.4</t>
  </si>
  <si>
    <t>DATA-09</t>
  </si>
  <si>
    <t>Will the institution's data be available within the system for a period of time at the completion of this contract?</t>
  </si>
  <si>
    <t>DATA-10</t>
  </si>
  <si>
    <t>Can the institution extract a full backup of data?</t>
  </si>
  <si>
    <t>B and C</t>
  </si>
  <si>
    <t>12.3.1</t>
  </si>
  <si>
    <t>DATA-11</t>
  </si>
  <si>
    <t>Are ownership rights to all data, inputs, outputs, and metadata retained by the institution?</t>
  </si>
  <si>
    <t>8.1.2</t>
  </si>
  <si>
    <t>DATA-12</t>
  </si>
  <si>
    <t>Ensure that all parts of CHNG-02 are clearly stated in your response.</t>
  </si>
  <si>
    <t>Are these rights retained even through a provider acquisition or bankruptcy event?</t>
  </si>
  <si>
    <t>DATA-13</t>
  </si>
  <si>
    <t>In the event of imminent bankruptcy, closing of business, or retirement of service, will you provide 90 days for customers to get their data out of the system and migrate applications?</t>
  </si>
  <si>
    <t>CAC 13</t>
  </si>
  <si>
    <t>Institutions will be notified 60 days prior to the environmental change</t>
  </si>
  <si>
    <t>DATA-14</t>
  </si>
  <si>
    <t xml:space="preserve">Describe or provide a reference to the backup processes for the servers on which the service and/or data resides. </t>
  </si>
  <si>
    <t>PR.IP-4</t>
  </si>
  <si>
    <t>3.8.9</t>
  </si>
  <si>
    <t>CP-9</t>
  </si>
  <si>
    <t>9.x</t>
  </si>
  <si>
    <t>DATA-15</t>
  </si>
  <si>
    <t>Are backup copies made according to pre-defined schedules and securely stored and protected?</t>
  </si>
  <si>
    <t>DATA-16</t>
  </si>
  <si>
    <t>How long are data backups stored?</t>
  </si>
  <si>
    <t>DATA-17</t>
  </si>
  <si>
    <t>Are data backups encrypted?</t>
  </si>
  <si>
    <t>PR.DS-1, PR.IP-4</t>
  </si>
  <si>
    <t>DATA-18</t>
  </si>
  <si>
    <t>Describe or provide a reference to your cryptographic key management process (generation, exchange, storage, safeguards, use, vetting, and replacement) of all system components (e.g. database, system, web, etc.).</t>
  </si>
  <si>
    <t>10.1.2</t>
  </si>
  <si>
    <t>3.13.10</t>
  </si>
  <si>
    <t>SC-28, SC-13, FIPS PUB 140-2</t>
  </si>
  <si>
    <t>DATA-19</t>
  </si>
  <si>
    <t>Do current backups include all operating system software, utilities, security software, application software, and data files necessary for recovery?</t>
  </si>
  <si>
    <t>ID.AM-1, ID.AM-2, PR.IP-9</t>
  </si>
  <si>
    <t>All features of the chat bot are universally available to all schools</t>
  </si>
  <si>
    <t>DATA-20</t>
  </si>
  <si>
    <t>Are you performing off site backups? (i.e. digitally moved off site)</t>
  </si>
  <si>
    <t>3.8.1, 3.8.9</t>
  </si>
  <si>
    <t>DATA-21</t>
  </si>
  <si>
    <t>Are physical backups taken off site? (i.e. physically moved off site)</t>
  </si>
  <si>
    <t>3.8.1, 3.8.5, 3.8.9</t>
  </si>
  <si>
    <t>CP-9, MP-5</t>
  </si>
  <si>
    <t>DATA-22</t>
  </si>
  <si>
    <t>Do backups containing the institution's data ever leave the Institution's Data Zone either physically or via network routing?</t>
  </si>
  <si>
    <t>DATA-23</t>
  </si>
  <si>
    <t>Describe or provide a reference to your media handling process, that is documented and currently implemented, including end-of-life, repurposing, and data sanitization procedures.</t>
  </si>
  <si>
    <t>8.3.1</t>
  </si>
  <si>
    <t>PR.DS-3</t>
  </si>
  <si>
    <t>3.7.1, 3.7.2, 3.8.3</t>
  </si>
  <si>
    <t>CP-9 MP-6, NIST SP 800-60, NIST SP 800-88, AC-2, AC-6, IA-4, PM-2, PM-10, SI-5, MA-2, MA-3, MP-6</t>
  </si>
  <si>
    <t>DATA-24</t>
  </si>
  <si>
    <t>Does the process described in DATA-23 adhere to DoD 5220.22-M and/or NIST SP 800-88 standards?</t>
  </si>
  <si>
    <t>8.3.1, 18.1.1</t>
  </si>
  <si>
    <t>3.7.3, 3.8.3,</t>
  </si>
  <si>
    <t>AC-2, AC-6, IA-4, PM-2, PM-10, SI-5, MA-2</t>
  </si>
  <si>
    <t>DATA-25</t>
  </si>
  <si>
    <t>Do procedures exist to ensure that retention and destruction of data meets established business and regulatory requirements?</t>
  </si>
  <si>
    <t>We run three concurrent versions</t>
  </si>
  <si>
    <t>PR.DS-3, ID.GV-3</t>
  </si>
  <si>
    <t>SI-12, AC-2, AC-6, IA-4, PM-2, PM-10, SI-5, MA-2</t>
  </si>
  <si>
    <t>DATA-26</t>
  </si>
  <si>
    <t>Is media used for long-term retention of business data and archival purposes stored in a secure, environmentally protected area?</t>
  </si>
  <si>
    <t>3.8.1, 3.8.2</t>
  </si>
  <si>
    <t>AC-2, AC-6, IA-4, PM-2, PM-10, SI-5</t>
  </si>
  <si>
    <t>Ensure that all relevant details pertaining to CHNG-05 are clearly stated in your response.</t>
  </si>
  <si>
    <t>DATA-27</t>
  </si>
  <si>
    <t>Will you handle data in a FERPA compliant manner?</t>
  </si>
  <si>
    <t>DATA-28</t>
  </si>
  <si>
    <t>Is any institution data visible in system administration modules/tools?</t>
  </si>
  <si>
    <t>CSC 13, CSC 14</t>
  </si>
  <si>
    <t>14.2.5</t>
  </si>
  <si>
    <t>All schools are using bot brian 1.3.1.5.8</t>
  </si>
  <si>
    <t>Ensure that all parts of CHNG-06 are clearly stated in your response.</t>
  </si>
  <si>
    <t>We encourage clients to give feedback via our support system</t>
  </si>
  <si>
    <r>
      <t xml:space="preserve">Does your organization ensure through policy and procedure (that is currently implemented) that </t>
    </r>
    <r>
      <rPr>
        <rFont val="Verdana"/>
        <color rgb="FF000000"/>
        <sz val="11.0"/>
        <u/>
      </rPr>
      <t>only application software verifiable as authorized, tested, and approved for production</t>
    </r>
    <r>
      <rPr>
        <rFont val="Verdana"/>
        <color rgb="FF000000"/>
        <sz val="11.0"/>
      </rPr>
      <t>, and having met all other requirements and reviews necessary for commissioning, is placed into production?</t>
    </r>
  </si>
  <si>
    <t>All code is tested on dev, then staging before deploying to production. QA lead approves the release only after test plan has been completed on staging</t>
  </si>
  <si>
    <t>DBAS-01</t>
  </si>
  <si>
    <t>Does the database support encryption of specified data elements in storage?</t>
  </si>
  <si>
    <t>DBAS-02</t>
  </si>
  <si>
    <t>Do you currently use encryption in your database(s)?</t>
  </si>
  <si>
    <t>PR.DS-1, PR.DS-2</t>
  </si>
  <si>
    <t>Once a quarter, bug fixes more frequently</t>
  </si>
  <si>
    <t xml:space="preserve">Focus on integrations, focus on new channels for the bot, convergence toward generative bots </t>
  </si>
  <si>
    <t>DCTR-01</t>
  </si>
  <si>
    <t>Does your company own the physical data center where the Institution's data will reside?</t>
  </si>
  <si>
    <t>11.1.1</t>
  </si>
  <si>
    <t>DCTR-02</t>
  </si>
  <si>
    <t>Does the hosting provider have a SOC 2 Type 2 report available?</t>
  </si>
  <si>
    <t>DCTR-03</t>
  </si>
  <si>
    <t>Are the data centers staffed 24 hours a day, seven days a week (i.e 24x7x365)?</t>
  </si>
  <si>
    <t>CSC 3</t>
  </si>
  <si>
    <t>DCTR-04</t>
  </si>
  <si>
    <t>Do any of your servers reside in a co-located data center?</t>
  </si>
  <si>
    <t>CSC 3, CSC 14</t>
  </si>
  <si>
    <t>We inform clients with upgrades notification.  Occasionally an upgrade may require some additional training but generally, since all updates happen on the cloud, there are no specific requirements of the client</t>
  </si>
  <si>
    <t>DCTR-05</t>
  </si>
  <si>
    <t>Are your servers separated from other companies via a physical barrier, such as a cage or hardened walls?</t>
  </si>
  <si>
    <t>13.1.2</t>
  </si>
  <si>
    <t>PR.AC-2</t>
  </si>
  <si>
    <t>DCTR-06</t>
  </si>
  <si>
    <t>Does a physical barrier fully enclose the physical space preventing unauthorized physical contact with any of your devices?</t>
  </si>
  <si>
    <t>11.1.1, 11.1.2</t>
  </si>
  <si>
    <t>DCTR-07</t>
  </si>
  <si>
    <t>Select the option that best describes the network segment that servers are connected to.</t>
  </si>
  <si>
    <t>CSC 9</t>
  </si>
  <si>
    <t>PR.AC-5</t>
  </si>
  <si>
    <t>3.1.3</t>
  </si>
  <si>
    <t>DCTR-08</t>
  </si>
  <si>
    <t>Does this data center operate outside of the Institution's Data Zone?</t>
  </si>
  <si>
    <t>Critical patches are applied at any time by CTO/Sys Admin</t>
  </si>
  <si>
    <t>DCTR-09</t>
  </si>
  <si>
    <t>Will any institution data leave the Institution's Data Zone?</t>
  </si>
  <si>
    <t>DCTR-10</t>
  </si>
  <si>
    <t xml:space="preserve">List all datacenters and the cities, states (provinces), and countries where the Institution's data will be stored (including within the Institution's Data Zone).   </t>
  </si>
  <si>
    <t>11.2.1</t>
  </si>
  <si>
    <t>DCTR-11</t>
  </si>
  <si>
    <t>Are your primary and secondary data centers geographically diverse?</t>
  </si>
  <si>
    <t>11.1.4</t>
  </si>
  <si>
    <t>DCTR-12</t>
  </si>
  <si>
    <t>If outsourced or co-located, is there a contract in place to prevent data from leaving the Institution's Data Zone?</t>
  </si>
  <si>
    <t>(1) determine severity of risk 
(2) identify immediate risk mitigation options (software "hacks", or system admin config) that can be done quickly before permanent solution can be put in place 
(3) communicate risk to key stakeholders 
(4) risk team approves approach 
(5) apply short term software/hardware/configuration patches 
(6) test solution 
(7) approve solution</t>
  </si>
  <si>
    <t>DCTR-13</t>
  </si>
  <si>
    <t>What Tier Level is your data center (per levels defined by the Uptime Institute)?</t>
  </si>
  <si>
    <t>DCTR-14</t>
  </si>
  <si>
    <t>Is the service hosted in a high availability environment?</t>
  </si>
  <si>
    <t>PR.DS-4</t>
  </si>
  <si>
    <t>DCTR-15</t>
  </si>
  <si>
    <t xml:space="preserve">Is redundant power available for all datacenters where institution data will reside? </t>
  </si>
  <si>
    <t>Off-peak hours</t>
  </si>
  <si>
    <t>DCTR-16</t>
  </si>
  <si>
    <t>Are redundant power strategies tested?</t>
  </si>
  <si>
    <t>DCTR-17</t>
  </si>
  <si>
    <t>Describe or provide a reference to the availability of cooling and fire suppression systems in all datacenters where institution data will reside.</t>
  </si>
  <si>
    <t>PE-2, PE-3, PE-5, PE-11, PE-13, PE-14</t>
  </si>
  <si>
    <t>DCTR-18</t>
  </si>
  <si>
    <t xml:space="preserve">State how many Internet Service Providers (ISPs) provide connectivity to each datacenter where the institution's data will reside. </t>
  </si>
  <si>
    <t>DCTR-19</t>
  </si>
  <si>
    <t>Does every datacenter where the Institution's data will reside have multiple telephone company or network provider entrances to the facility?</t>
  </si>
  <si>
    <t>Only in the case of a breach</t>
  </si>
  <si>
    <t>Data is stored on separate database kubernetes nodes and data is encrypted at rest</t>
  </si>
  <si>
    <t>DRPL-01</t>
  </si>
  <si>
    <t>Describe or provide a reference to your Disaster Recovery Plan (DRP).</t>
  </si>
  <si>
    <t>DRPL-02</t>
  </si>
  <si>
    <t>Is an owner assigned who is responsible for the maintenance and review of the DRP?</t>
  </si>
  <si>
    <t>16.1.1, 17.1.1</t>
  </si>
  <si>
    <t>DRPL-03</t>
  </si>
  <si>
    <t>Can the Institution review your DRP and supporting documentation?</t>
  </si>
  <si>
    <t>DRPL-04</t>
  </si>
  <si>
    <t>Are any disaster recovery locations outside the Institution's Data Zone?</t>
  </si>
  <si>
    <t>CSC 10, CSC 12</t>
  </si>
  <si>
    <t>SSL</t>
  </si>
  <si>
    <t>DRPL-05</t>
  </si>
  <si>
    <t>Does your organization have a disaster recovery site or a contracted Disaster Recovery provider?</t>
  </si>
  <si>
    <t>DRPL-06</t>
  </si>
  <si>
    <t>Does your organization conduct an annual test of relocating to this site for disaster recovery purposes?</t>
  </si>
  <si>
    <t>DRPL-07</t>
  </si>
  <si>
    <t>Is there a defined problem/issue escalation plan in your DRP for impacted clients?</t>
  </si>
  <si>
    <t>At rest encryption</t>
  </si>
  <si>
    <t>DRPL-08</t>
  </si>
  <si>
    <t>Is there a documented communication plan in your DRP for impacted clients?</t>
  </si>
  <si>
    <t>DRPL-09</t>
  </si>
  <si>
    <t>Describe or provide a reference to how your disaster recovery plan is tested? (i.e. scope of DR tests, end-to-end testing, etc.)</t>
  </si>
  <si>
    <t>DRPL-10</t>
  </si>
  <si>
    <t>Has the Disaster Recovery Plan been tested in the last year?  Please provide a summary of the results in Additional Information (including actual recovery time).</t>
  </si>
  <si>
    <t>DRPL-11</t>
  </si>
  <si>
    <t>Do the documented test results identify your organizations actual recovery time capabilities for technology and facilities?</t>
  </si>
  <si>
    <t>7.1.3</t>
  </si>
  <si>
    <t>DRPL-12</t>
  </si>
  <si>
    <t xml:space="preserve">Are all components of the DRP reviewed at least annually and updated as needed to reflect change? </t>
  </si>
  <si>
    <t>DRPL-13</t>
  </si>
  <si>
    <t>Do you carry cyber-risk insurance to protect against unforeseen service outages, data that is lost or stolen, and security incidents?</t>
  </si>
  <si>
    <t>3.6.2</t>
  </si>
  <si>
    <t>SSH, TLS, VPN, ALTS</t>
  </si>
  <si>
    <t>Google East Region</t>
  </si>
  <si>
    <t>Ensure that all parts of DATA-07 are clearly stated in your response.</t>
  </si>
  <si>
    <t>Negotiable, typically 5 years</t>
  </si>
  <si>
    <t>FIDP-01</t>
  </si>
  <si>
    <t>Are you utilizing a web application firewall (WAF)?</t>
  </si>
  <si>
    <t>13.1.1</t>
  </si>
  <si>
    <t>PR.DS-5</t>
  </si>
  <si>
    <t>FIDP-02</t>
  </si>
  <si>
    <t>Are you utilizing a stateful packet inspection (SPI) firewall?</t>
  </si>
  <si>
    <t>FIDP-03</t>
  </si>
  <si>
    <t>State and describe who has the authority to change firewall rules?</t>
  </si>
  <si>
    <t>13</t>
  </si>
  <si>
    <t>FIDP-04</t>
  </si>
  <si>
    <t>Do you have a documented policy for firewall change requests?</t>
  </si>
  <si>
    <t>FIDP-05</t>
  </si>
  <si>
    <t>Have you implemented an Intrusion Detection System (network-based)?</t>
  </si>
  <si>
    <t>CSC 19</t>
  </si>
  <si>
    <t>DE.CM-1</t>
  </si>
  <si>
    <t>3.6.1, 3.14.6, 3.14.7</t>
  </si>
  <si>
    <t>IR-2, IR-4, IR-5</t>
  </si>
  <si>
    <t>FIDP-06</t>
  </si>
  <si>
    <t>Have you implemented an Intrusion Prevention System (network-based)?</t>
  </si>
  <si>
    <t>FIDP-07</t>
  </si>
  <si>
    <t>In such events, university data clauses with customers will survive the contractual period</t>
  </si>
  <si>
    <t>Do you employ host-based intrusion detection?</t>
  </si>
  <si>
    <t>FIDP-08</t>
  </si>
  <si>
    <t>Do you employ host-based intrusion prevention?</t>
  </si>
  <si>
    <t>FIDP-09</t>
  </si>
  <si>
    <t>Describe or provide a reference to any other safeguards used to monitor for malicious activity?</t>
  </si>
  <si>
    <t>12.4.1</t>
  </si>
  <si>
    <t>FIDP-10</t>
  </si>
  <si>
    <t>Do you monitor for intrusions on a 24x7x365 basis?</t>
  </si>
  <si>
    <t>DE.CM-1, DE.CM-2, DE.CM-7</t>
  </si>
  <si>
    <t>FIDP-11</t>
  </si>
  <si>
    <t>Is intrusion monitoring performed internally or by a third-party service?</t>
  </si>
  <si>
    <t>CSC 6, CSC 19</t>
  </si>
  <si>
    <t>11.4, 12.8</t>
  </si>
  <si>
    <t>FIDP-12</t>
  </si>
  <si>
    <t>Are audit logs available for all changes to the network, firewall, IDS, and IPS systems?</t>
  </si>
  <si>
    <t>DE.AE-1, DE.CM-1, PR.PT-4</t>
  </si>
  <si>
    <t>3.3.1</t>
  </si>
  <si>
    <t>Hosted on Google Cloud; backups stored on AWS</t>
  </si>
  <si>
    <t>AU-2</t>
  </si>
  <si>
    <t>1.1, 10.8, 10.6, 10.3, 10.2, 11.4</t>
  </si>
  <si>
    <t>If your strategy uses different processes for services and data, ensure that all strategies are clearly stated and supported.</t>
  </si>
  <si>
    <t>5 years</t>
  </si>
  <si>
    <t>If your backup strategy uses varying periods, ensure that each strategy is clearly stated and supported.</t>
  </si>
  <si>
    <t>All data is encrypted at rest in storage</t>
  </si>
  <si>
    <t>Do you have a cryptographic key management process (generation, exchange, storage, safeguards, use, vetting, and replacement), that is documented and currently implemented, for all system components? (e.g. database, system, web, etc.)</t>
  </si>
  <si>
    <t>MAPP-01</t>
  </si>
  <si>
    <t>We use Google's key management process</t>
  </si>
  <si>
    <t>On which mobile operating systems is your software or service supported?</t>
  </si>
  <si>
    <t>MAPP-02</t>
  </si>
  <si>
    <t>Describe or provide a reference to the application's architecture and functionality.</t>
  </si>
  <si>
    <t>DE.CM-7</t>
  </si>
  <si>
    <t>MAPP-03</t>
  </si>
  <si>
    <t>Is the application available from a trusted source (e.g., iTunes App Store, Android Market, BB World)?</t>
  </si>
  <si>
    <t>MAPP-04</t>
  </si>
  <si>
    <t>Does the application store, process, or transmit critical data?</t>
  </si>
  <si>
    <t>CSC 13, CSC 18</t>
  </si>
  <si>
    <t>8.2.1; 8.2.3</t>
  </si>
  <si>
    <t>DE.CM-7, PR.DS-2</t>
  </si>
  <si>
    <t>MAPP-05</t>
  </si>
  <si>
    <t>Is Institution's data encrypted in transport?</t>
  </si>
  <si>
    <t>8.2.3</t>
  </si>
  <si>
    <t>3.1.19</t>
  </si>
  <si>
    <t>AC-19(5)</t>
  </si>
  <si>
    <t>MAPP-06</t>
  </si>
  <si>
    <t>Is Institution's data encrypted in storage? (e.g. disk encryption, at-rest)</t>
  </si>
  <si>
    <t>DE.CM-7, PR.DS-1</t>
  </si>
  <si>
    <t>MAPP-07</t>
  </si>
  <si>
    <t>Does the mobile application support Kerberos, CAS, or Active Directory authentication?</t>
  </si>
  <si>
    <t>9.4.2</t>
  </si>
  <si>
    <t>MAPP-08</t>
  </si>
  <si>
    <t>Will any of these systems be implemented on systems hosting the Institution's data?</t>
  </si>
  <si>
    <t>MAPP-09</t>
  </si>
  <si>
    <t>Does the application adhere to secure coding practices (e.g. OWASP, etc.)?</t>
  </si>
  <si>
    <t>MAPP-10</t>
  </si>
  <si>
    <t>Has the application been tested for vulnerabilities by a third party?</t>
  </si>
  <si>
    <t>12.7.1, 18.2.1</t>
  </si>
  <si>
    <t>DE.CM-7, DE.CM-8, ID.RA-1</t>
  </si>
  <si>
    <t>MAPP-11</t>
  </si>
  <si>
    <t>State the party that performed the vulnerability test and the date it was conducted?</t>
  </si>
  <si>
    <t>Do you have a media handling process, that is documented and currently implemented, including end-of-life, repurposing, and data sanitization procedures?</t>
  </si>
  <si>
    <t>No media handling process. All backups are stored on AWS</t>
  </si>
  <si>
    <t>PHYS-01</t>
  </si>
  <si>
    <t>Describe or provide a reference to physical safeguards that are placed on facilities housing the institution's data (e.g., video monitoring, restricted access areas, man traps, card access controls, etc.)?</t>
  </si>
  <si>
    <t>PR.AC-2, PR.AT-5, PR.IP-5, DE.CM-2</t>
  </si>
  <si>
    <t>3.8.2, 3.10.1, 3.10.2, 3.10.5, 3.10.6, 3.12.1</t>
  </si>
  <si>
    <t>MP-4, PE-2, PE-5, PE-6, PE-17</t>
  </si>
  <si>
    <t>PHYS-02</t>
  </si>
  <si>
    <t>Are employees allowed to take home Institution's data in any form?</t>
  </si>
  <si>
    <t>PR.AC-2, PR.AC-4, PR.DS-1, PR.DS-3, PR.DS-5</t>
  </si>
  <si>
    <t>3.8.1, 3.8.5, 3.8.7</t>
  </si>
  <si>
    <t>MP-2, MP-5, MP-7</t>
  </si>
  <si>
    <t>12.1, 9.x</t>
  </si>
  <si>
    <t>PHYS-03</t>
  </si>
  <si>
    <t>Are video monitoring feeds retained?</t>
  </si>
  <si>
    <t>11.1.2, 11.1.3</t>
  </si>
  <si>
    <t>DE.CM-2</t>
  </si>
  <si>
    <t>3.10.2</t>
  </si>
  <si>
    <t>PE-6</t>
  </si>
  <si>
    <t>PHYS-04</t>
  </si>
  <si>
    <t>Are video feeds monitored by datacenter staff?</t>
  </si>
  <si>
    <t>11.1.2,  11.1.3</t>
  </si>
  <si>
    <t>PHYS-05</t>
  </si>
  <si>
    <t>Are individuals required to sign in/out for installation and removal of equipment?</t>
  </si>
  <si>
    <t>GDPR compliant</t>
  </si>
  <si>
    <t>11.1.2</t>
  </si>
  <si>
    <t>3.7.3, 3.8.1, 3.8.5, 3.8.7, 3.10.3</t>
  </si>
  <si>
    <t>PPPR-01</t>
  </si>
  <si>
    <t>Briefly describe your security organization. Include the responsible party for your information security program and the size of your security staff?</t>
  </si>
  <si>
    <t>5.1.1</t>
  </si>
  <si>
    <t>ID.GV-2</t>
  </si>
  <si>
    <t>3.9.1, 3.9.2</t>
  </si>
  <si>
    <t>PM-2, PM-10, SI-5, CA-5, PM-1</t>
  </si>
  <si>
    <t>12.4, 12.5</t>
  </si>
  <si>
    <t>PPPR-02</t>
  </si>
  <si>
    <t>Do you have a documented patch management process?</t>
  </si>
  <si>
    <t>CSC 4</t>
  </si>
  <si>
    <t>PR.IP-12</t>
  </si>
  <si>
    <t>CA-5, PM-1</t>
  </si>
  <si>
    <t>6.4.5</t>
  </si>
  <si>
    <t>PPPR-03</t>
  </si>
  <si>
    <t>Can you accommodate encryption requirements using open standards?</t>
  </si>
  <si>
    <t>10.1.1, 18.1.5</t>
  </si>
  <si>
    <t>PPPR-04</t>
  </si>
  <si>
    <t>Have your developers been trained in secure coding techniques?</t>
  </si>
  <si>
    <t>CSC 4, CSC 17</t>
  </si>
  <si>
    <t>12.6, 6.5</t>
  </si>
  <si>
    <t>PPPR-05</t>
  </si>
  <si>
    <t>Was your application developed using secure coding techniques?</t>
  </si>
  <si>
    <t>PPPR-06</t>
  </si>
  <si>
    <t>Do you subject your code to static code analysis and/or static application security testing prior to release?</t>
  </si>
  <si>
    <t>14.2.1, 14.2.5, 14.2.8</t>
  </si>
  <si>
    <t>DE.CM-8, RS.MI-3</t>
  </si>
  <si>
    <t>6.3.2</t>
  </si>
  <si>
    <t>PPPR-07</t>
  </si>
  <si>
    <t>Do you have software testing processes (dynamic or static) that are established and followed?</t>
  </si>
  <si>
    <t>14.2.8</t>
  </si>
  <si>
    <t>PR.DS-7</t>
  </si>
  <si>
    <t>6.3.2, 6.4.5.3</t>
  </si>
  <si>
    <t>PPPR-08</t>
  </si>
  <si>
    <t>Are information security principles designed into the product lifecycle?</t>
  </si>
  <si>
    <t>3.13.2</t>
  </si>
  <si>
    <t>6.3, 6.3.1</t>
  </si>
  <si>
    <t>PPPR-09</t>
  </si>
  <si>
    <t>Do you have a documented systems development life cycle (SDLC)?</t>
  </si>
  <si>
    <t>PR.IP-2</t>
  </si>
  <si>
    <t>CM-3, SA-15, SA-3, SA-8, SC-2, CA-5, PM-1</t>
  </si>
  <si>
    <t>Encryption is at rest; https://cloud.google.com/security/encryption-at-rest/</t>
  </si>
  <si>
    <t>PPPR-10</t>
  </si>
  <si>
    <t>Do you have a formal incident response plan?</t>
  </si>
  <si>
    <t>16.1.5</t>
  </si>
  <si>
    <t>3.6.1, 3.12.2</t>
  </si>
  <si>
    <t>CA-5, PM-1, IR-4, IR-5, IR-7, IR-8</t>
  </si>
  <si>
    <t>12.10, 12.8, 12.9</t>
  </si>
  <si>
    <t>PPPR-11</t>
  </si>
  <si>
    <t>Will you comply with applicable breach notification laws?</t>
  </si>
  <si>
    <t>3.6.2,</t>
  </si>
  <si>
    <t>CA-5, PM-1, IR-4, IR-5, IR-6, IR-7, IR-8</t>
  </si>
  <si>
    <t>PPPR-12</t>
  </si>
  <si>
    <t>Will you comply with the Institution's IT policies with regards to user privacy and data protection?</t>
  </si>
  <si>
    <t>CA-2, SA-15, CA-5, PM-1, IR-4, IR-5, IR-6, R-7, IR-8</t>
  </si>
  <si>
    <t>PPPR-13</t>
  </si>
  <si>
    <t>Is your company subject to Institution's Data Zone laws and regulations?</t>
  </si>
  <si>
    <t>PPPR-14</t>
  </si>
  <si>
    <t>Do you perform background screenings or multi-state background checks on all employees prior to their first day of work?</t>
  </si>
  <si>
    <t>7.1.1</t>
  </si>
  <si>
    <t>PR.IP-11</t>
  </si>
  <si>
    <t>3.9.1</t>
  </si>
  <si>
    <t>CA-5, PM-1, PS-3</t>
  </si>
  <si>
    <t>PPPR-15</t>
  </si>
  <si>
    <t xml:space="preserve">Do you require new employees to fill out agreements and review policies?  </t>
  </si>
  <si>
    <t>CSC 17</t>
  </si>
  <si>
    <t>7.1.2</t>
  </si>
  <si>
    <t>12.6, 7.x, 8.x, 9.x</t>
  </si>
  <si>
    <t>PPPR-16</t>
  </si>
  <si>
    <t>Do you have documented information security policy?</t>
  </si>
  <si>
    <t>12.1, 5.4 (?)</t>
  </si>
  <si>
    <t>PPPR-17</t>
  </si>
  <si>
    <t>Do you have an information security awareness program?</t>
  </si>
  <si>
    <t>§164.308(a)(5)(i)</t>
  </si>
  <si>
    <t>7.2.2</t>
  </si>
  <si>
    <t>PR.AT-1</t>
  </si>
  <si>
    <t>3.2.1</t>
  </si>
  <si>
    <t>AT-2, CA-5, PM-1</t>
  </si>
  <si>
    <t>PPPR-18</t>
  </si>
  <si>
    <t>Is security awareness training mandatory for all employees?</t>
  </si>
  <si>
    <t>3.2.1, 3.2.2, 3.2.3</t>
  </si>
  <si>
    <t>AT-2, AT-3, CA-5, PM-1</t>
  </si>
  <si>
    <t>PPPR-19</t>
  </si>
  <si>
    <t>Do you have process and procedure(s) documented, and currently followed, that require a review and update of the access-list(s) for privileged accounts?</t>
  </si>
  <si>
    <t>9.2.5</t>
  </si>
  <si>
    <t>3.1.7</t>
  </si>
  <si>
    <t>12.1, 12.5, 12.6</t>
  </si>
  <si>
    <t>PPPR-20</t>
  </si>
  <si>
    <t>Do you have documented, and currently implemented, internal audit processes and procedures?</t>
  </si>
  <si>
    <t>12.7.1</t>
  </si>
  <si>
    <t>CA-5, PM-1, PS-4, PS-5, PE-2, PE-3, PE-5, AC-6, RA-3, SA-8, CA-2, NIST SP 800-37; NIST SP 800-39; NIST SP 800-115; NIST SP 800-137</t>
  </si>
  <si>
    <t>https://cloud.google.com/security/compliance/soc-2/</t>
  </si>
  <si>
    <t>PROD-01</t>
  </si>
  <si>
    <t>Do you incorporate customer feedback into security feature requests?</t>
  </si>
  <si>
    <t>PROD-02</t>
  </si>
  <si>
    <t>Can you provide an evaluation site to the institution for testing?</t>
  </si>
  <si>
    <t>https://cloud.google.com/security</t>
  </si>
  <si>
    <t>Google Cloud</t>
  </si>
  <si>
    <t>QLAS-01</t>
  </si>
  <si>
    <t>Provide a general summary of your Quality Assurance program.</t>
  </si>
  <si>
    <t>QLAS-02</t>
  </si>
  <si>
    <t>Do you comply with ISO 9001?</t>
  </si>
  <si>
    <t>QLAS-03</t>
  </si>
  <si>
    <t>Will your company provide quality and performance metrics in relation to the scope of services and performance expectations for the services you are offering?</t>
  </si>
  <si>
    <t>QLAS-04</t>
  </si>
  <si>
    <t>Have you supplied products and/or services to the Institution (or its Campuses) in the last five years?</t>
  </si>
  <si>
    <t>QLAS-05</t>
  </si>
  <si>
    <t>Do you have a program to keep your customers abreast of higher education and/or industry issues?</t>
  </si>
  <si>
    <t>Other</t>
  </si>
  <si>
    <t>Provide a general summary of the implemented networking strategy.</t>
  </si>
  <si>
    <t>Ensure that all parts of DCTR-10 are clearly stated in your response.</t>
  </si>
  <si>
    <t>Google Gloud &amp; Amazon AWS</t>
  </si>
  <si>
    <t>SYST-01</t>
  </si>
  <si>
    <t>Are systems that support this service managed via a separate management network?</t>
  </si>
  <si>
    <t>PR.PT-4</t>
  </si>
  <si>
    <t>SYST-02</t>
  </si>
  <si>
    <t>Do you have an implemented system configuration management process? (e.g. secure "gold" images, etc.)</t>
  </si>
  <si>
    <t>PR.IP-1</t>
  </si>
  <si>
    <t>3.4.1, 3.4.2, 3.4.3</t>
  </si>
  <si>
    <t>CM-2, CM-3, CM-6, CM-8</t>
  </si>
  <si>
    <t>SYST-03</t>
  </si>
  <si>
    <t>Are employee mobile devices managed by your company's Mobile Device Management (MDM) platform?</t>
  </si>
  <si>
    <t>6.2.1</t>
  </si>
  <si>
    <t>3.13.13</t>
  </si>
  <si>
    <t>SYST-04</t>
  </si>
  <si>
    <t>Provide a general summary of your systems management and configuration strategy, including servers, appliances, and mobile devices (company and employee owned).</t>
  </si>
  <si>
    <t>PR.IP-1, PR.IP-2</t>
  </si>
  <si>
    <t>3.1.18, 3.7.1, 3.13.13</t>
  </si>
  <si>
    <t>CM-2, CM-6, CM-3, AC-19, MA-2</t>
  </si>
  <si>
    <t>Tier IV</t>
  </si>
  <si>
    <t>Review the Uptime Institute's level/tier direction provided on their website if you need addition information to answer DCTR-13.</t>
  </si>
  <si>
    <t>VULN-01</t>
  </si>
  <si>
    <r>
      <t xml:space="preserve">Are your </t>
    </r>
    <r>
      <rPr>
        <rFont val="Verdana"/>
        <i/>
        <color rgb="FF000000"/>
        <sz val="11.0"/>
      </rPr>
      <t>applications</t>
    </r>
    <r>
      <rPr>
        <rFont val="Verdana"/>
        <color rgb="FF000000"/>
        <sz val="11.0"/>
      </rPr>
      <t xml:space="preserve"> scanned externally for vulnerabilities?</t>
    </r>
  </si>
  <si>
    <t>DE.CM-8</t>
  </si>
  <si>
    <t>3.11.1, 3.11.2, 3.11.3</t>
  </si>
  <si>
    <t>SI-2</t>
  </si>
  <si>
    <t>VULN-02</t>
  </si>
  <si>
    <t>Have your applications had an external vulnerability assessment in the last year?</t>
  </si>
  <si>
    <t>VULN-03</t>
  </si>
  <si>
    <t>Are your applications scanned for vulnerabilities prior to new releases?</t>
  </si>
  <si>
    <t>VULN-04</t>
  </si>
  <si>
    <r>
      <t xml:space="preserve">Are your </t>
    </r>
    <r>
      <rPr>
        <rFont val="Verdana"/>
        <i/>
        <color rgb="FF000000"/>
        <sz val="11.0"/>
      </rPr>
      <t>systems</t>
    </r>
    <r>
      <rPr>
        <rFont val="Verdana"/>
        <color rgb="FF000000"/>
        <sz val="11.0"/>
      </rPr>
      <t xml:space="preserve"> scanned externally for vulnerabilities?</t>
    </r>
  </si>
  <si>
    <t>VULN-05</t>
  </si>
  <si>
    <t>Have your systems had an external vulnerability assessment in the last year?</t>
  </si>
  <si>
    <t>VULN-06</t>
  </si>
  <si>
    <t>Describe or provide a reference to the tool(s) used to scan for vulnerabilities in your applications and systems.</t>
  </si>
  <si>
    <t>VULN-07</t>
  </si>
  <si>
    <t>Will you provide results of security scans to the Institution?</t>
  </si>
  <si>
    <t>VULN-08</t>
  </si>
  <si>
    <t>Describe or provide a reference to how you monitor for and protect against common web application security vulnerabilities (e.g. SQL injection, XSS, XSRF, etc.).</t>
  </si>
  <si>
    <t>CSC 7, CSC 18</t>
  </si>
  <si>
    <t>ID.RA-1, DE.CM-8, PR.IP-12</t>
  </si>
  <si>
    <t>3.11.1, 3.11.2, 3.11.3, 3.14.2</t>
  </si>
  <si>
    <t>11.2, 11.3</t>
  </si>
  <si>
    <t>VULN-09</t>
  </si>
  <si>
    <t>Will you allow the institution to perform its own security testing of your systems and/or application provided that testing is performed at a mutually agreed upon time and date?</t>
  </si>
  <si>
    <t>CSC 20</t>
  </si>
  <si>
    <t>18.2.1</t>
  </si>
  <si>
    <t>11.2, 12.8</t>
  </si>
  <si>
    <t>HIPA-01</t>
  </si>
  <si>
    <t>Do your workforce members receive regular training related to the HIPAA Privacy and Security Rules and the HITECH Act?</t>
  </si>
  <si>
    <t>18.1.1, 7.2.2</t>
  </si>
  <si>
    <t>3.2.2</t>
  </si>
  <si>
    <t>AT-3</t>
  </si>
  <si>
    <t>HIPA-02</t>
  </si>
  <si>
    <t>Do you monitor or receive information regarding changes in HIPAA regulations?</t>
  </si>
  <si>
    <t>§164.316(b)(2)(iii)</t>
  </si>
  <si>
    <t>HIPA-03</t>
  </si>
  <si>
    <t>Has your organization designated HIPAA Privacy and Security officers as required by the Rules?</t>
  </si>
  <si>
    <t>§164.308(a)(2)</t>
  </si>
  <si>
    <t>HIPA-04</t>
  </si>
  <si>
    <t>Do you comply with the requirements of the Health Information Technology for Economic and Clinical Health Act (HITECH)?</t>
  </si>
  <si>
    <t>HIPA-05</t>
  </si>
  <si>
    <t>Do you have an incident response process and reporting in place to investigate any potential incidents and report actual incidents?</t>
  </si>
  <si>
    <t>§164.308(a)(6)(i)</t>
  </si>
  <si>
    <t>16.1.1</t>
  </si>
  <si>
    <t>3.6.1, 3.14.1</t>
  </si>
  <si>
    <t>IR-2, IR-4, IR-5, IR-7</t>
  </si>
  <si>
    <t>12.10, 10.10</t>
  </si>
  <si>
    <t>HIPA-06</t>
  </si>
  <si>
    <t>Do you have a plan to comply with the Breach Notification requirements if there is a breach of data?</t>
  </si>
  <si>
    <t>§164.308(a)(6)(ii)</t>
  </si>
  <si>
    <t>16.1.2, 16.1.5, 18.1.1</t>
  </si>
  <si>
    <t>3.6.2, 3.12.2</t>
  </si>
  <si>
    <t>IR-6</t>
  </si>
  <si>
    <t>HIPA-07</t>
  </si>
  <si>
    <t>Have you conducted a risk analysis as required under the Security Rule?</t>
  </si>
  <si>
    <t>HIPA-08</t>
  </si>
  <si>
    <t>Have you identified areas of risks?</t>
  </si>
  <si>
    <t>§164.308(a)(1)(i), §164.308(a)(1)(ii)(A)</t>
  </si>
  <si>
    <t>HIPA-09</t>
  </si>
  <si>
    <t>Have you taken actions to mitigate the identified risks?</t>
  </si>
  <si>
    <t>HIPA-10</t>
  </si>
  <si>
    <t>Does your application require user and system administrator password changes at a frequency no greater than 90 days?</t>
  </si>
  <si>
    <t>§164.308(a)(5)(ii)(D)</t>
  </si>
  <si>
    <t>HIPA-11</t>
  </si>
  <si>
    <t>Does your application require a user to set their own password after an administrator reset or on first use of the account?</t>
  </si>
  <si>
    <t>Ensure that all parts of DCTR-17 are clearly stated in your response.</t>
  </si>
  <si>
    <t>3.5.9</t>
  </si>
  <si>
    <t>HIPA-12</t>
  </si>
  <si>
    <t xml:space="preserve">Does your application lock-out an account after a number of failed login attempts? </t>
  </si>
  <si>
    <t>Unknown</t>
  </si>
  <si>
    <t>§164.308(a)(4), §164.312(a)(2)(ii),  
§164.312(a)(2)(iii)</t>
  </si>
  <si>
    <t>3.1.8</t>
  </si>
  <si>
    <t>AC-7</t>
  </si>
  <si>
    <t>HIPA-13</t>
  </si>
  <si>
    <t>Does your application automatically lock or log-out an account after a period of inactivity?</t>
  </si>
  <si>
    <t>§164.308(a)(4),
§164.312(a)(2)(ii), §164.312(a)(2)(iii)</t>
  </si>
  <si>
    <t>State the ISP provider(s) in addition to the number of ISPs that provide connectivity.</t>
  </si>
  <si>
    <t>3.1.10, 3.1.11</t>
  </si>
  <si>
    <t>AC-11, AC-11(1), AC-12</t>
  </si>
  <si>
    <t>HIPA-14</t>
  </si>
  <si>
    <t>Are passwords visible in plain text, whether when stored or entered, including service level accounts (i.e. database accounts, etc.)?</t>
  </si>
  <si>
    <t>§164.308(a)(4), 
§164.312(d)</t>
  </si>
  <si>
    <t>HIPA-15</t>
  </si>
  <si>
    <t>If the application is institution-hosted, can all service level and administrative account passwords be changed by the institution?</t>
  </si>
  <si>
    <t>HIPA-16</t>
  </si>
  <si>
    <t>Does your application provide the ability to define user access levels?</t>
  </si>
  <si>
    <t>§164.308(a)(4), 
§164.312(a)(1), §164.312(a)(2)(i), 
§164.312(d)</t>
  </si>
  <si>
    <t>HIPA-17</t>
  </si>
  <si>
    <t>Does your application support varying levels of access to administrative tasks defined individually per user?</t>
  </si>
  <si>
    <t>CSC 16, 5</t>
  </si>
  <si>
    <t>§164.308(a)(4),
§164.312(a)(1), §164.312(a)(2)(i), 
§164.312(d)</t>
  </si>
  <si>
    <t>3.1.2, 3.1.5</t>
  </si>
  <si>
    <t>HIPA-18</t>
  </si>
  <si>
    <t>Does your application support varying levels of access to records based on user ID?</t>
  </si>
  <si>
    <t>§164.308(a)(4), 
§164.312(a)(1), §164.312(a)(2)(i),
§164.312(d)</t>
  </si>
  <si>
    <t>9.2.3</t>
  </si>
  <si>
    <t>HIPA-19</t>
  </si>
  <si>
    <t>Is there a limit to the number of groups a user can be assigned?</t>
  </si>
  <si>
    <t>§164.308(a)(4), 
§164.312(a)(1)</t>
  </si>
  <si>
    <t>HIPA-20</t>
  </si>
  <si>
    <t>Do accounts used for vendor supplied remote support abide by the same authentication policies and access logging as the rest of the system?</t>
  </si>
  <si>
    <t>CSC 6, CSC 16</t>
  </si>
  <si>
    <t>AU-2, AU-6, AU-12</t>
  </si>
  <si>
    <t>HIPA-21</t>
  </si>
  <si>
    <t xml:space="preserve">Does the application log record access including specific user, date/time of access, and originating IP or device? </t>
  </si>
  <si>
    <t>§ 164.308(a)(1)(ii)(D)</t>
  </si>
  <si>
    <t>3.3.2</t>
  </si>
  <si>
    <t>AU-3</t>
  </si>
  <si>
    <t>HIPA-22</t>
  </si>
  <si>
    <t>Does the application log administrative activity, such user account access changes and password changes, including specific user, date/time of changes, and originating IP or device?</t>
  </si>
  <si>
    <t>§164.312(b)</t>
  </si>
  <si>
    <t>HIPA-23</t>
  </si>
  <si>
    <t>How long does the application keep access/change logs?</t>
  </si>
  <si>
    <t>HIPA-24</t>
  </si>
  <si>
    <t xml:space="preserve">Can the application logs be archived? </t>
  </si>
  <si>
    <t>We cannot share our Disaster Recovery Plan unless we are under NDA.</t>
  </si>
  <si>
    <t>HIPA-25</t>
  </si>
  <si>
    <t xml:space="preserve">Can the application logs be saved externally? </t>
  </si>
  <si>
    <t>Provide a valid URL to your current DRP or submit it along with this fully-populated HECVAT.</t>
  </si>
  <si>
    <t>HIPA-26</t>
  </si>
  <si>
    <t>Does your data backup and retention policies and practices meet HIPAA requirements?</t>
  </si>
  <si>
    <t>§164.312(a)(2)(ii)</t>
  </si>
  <si>
    <t>HIPA-27</t>
  </si>
  <si>
    <t>Do you have a disaster recovery plan and emergency mode operation plan?</t>
  </si>
  <si>
    <t>§164.308(a)(7)(i)</t>
  </si>
  <si>
    <t>HIPA-28</t>
  </si>
  <si>
    <t>Have the policies/plans mentioned above been tested?</t>
  </si>
  <si>
    <t>3.6.3, 3.12.2</t>
  </si>
  <si>
    <t>HIPA-29</t>
  </si>
  <si>
    <t>Can you provide a HIPAA compliance attestation document?</t>
  </si>
  <si>
    <t>§164.308(b)(2)</t>
  </si>
  <si>
    <t>HIPA-30</t>
  </si>
  <si>
    <t>Are you willing to enter into a Business Associate Agreement (BAA)?</t>
  </si>
  <si>
    <t>§164.308(b)(1),
§164.308(b)(3), §164.314(a)(1)(i)</t>
  </si>
  <si>
    <t>HIPA-31</t>
  </si>
  <si>
    <t>Have you entered into a BAA with all subcontractors who may have access to protected health information (PHI)?</t>
  </si>
  <si>
    <t>§164.308(a)(3)(i), §164.308(b)(1), 
§164.308(b)(3), §164.314(a)(1)(i)</t>
  </si>
  <si>
    <t>Issues affecting clients are automatically escalated to the highest priority level</t>
  </si>
  <si>
    <t>We will communicate to clients within 48 hours indicating issues, and resolution status</t>
  </si>
  <si>
    <t>PCID-01</t>
  </si>
  <si>
    <t>Do your systems or products store, process, or transmit cardholder (payment/credit/debt card) data?</t>
  </si>
  <si>
    <t>End-to-end testing, quarterly</t>
  </si>
  <si>
    <t>PCID-02</t>
  </si>
  <si>
    <t>Ensure that all elements of DRPL-09 are clearly stated in your response.</t>
  </si>
  <si>
    <t>Are you compliant with the Payment Card Industry Data Security Standard (PCI DSS)?</t>
  </si>
  <si>
    <t>DRP was tested in March 2019.  Test was successful;  Recovery time was 9 minutes</t>
  </si>
  <si>
    <t>PCID-03</t>
  </si>
  <si>
    <t>Do you have a current, executed within the past year, Attestation of Compliance (AoC) or Report on Compliance (RoC)?</t>
  </si>
  <si>
    <t>PCID-04</t>
  </si>
  <si>
    <t>Are you classified as a service provider?</t>
  </si>
  <si>
    <t>PCID-05</t>
  </si>
  <si>
    <t xml:space="preserve">Are you on the list of VISA approved service providers? </t>
  </si>
  <si>
    <t>PCID-06</t>
  </si>
  <si>
    <t>Are you classified as a merchant?  If so, what level (1, 2, 3, 4)?</t>
  </si>
  <si>
    <t>PCID-07</t>
  </si>
  <si>
    <t>Describe the architecture employed by the system to verify and authorize credit card transactions.</t>
  </si>
  <si>
    <t>CSC 1, CSC 2</t>
  </si>
  <si>
    <t>PCID-08</t>
  </si>
  <si>
    <t xml:space="preserve">What payment processors/gateways does the system support? </t>
  </si>
  <si>
    <t>PCID-09</t>
  </si>
  <si>
    <t>Can the application be installed in a PCI DSS compliant manner ?</t>
  </si>
  <si>
    <t>PCID-10</t>
  </si>
  <si>
    <t xml:space="preserve">Is the application listed as an approved PA-DSS application? </t>
  </si>
  <si>
    <t>We review and update the DRP quarterly</t>
  </si>
  <si>
    <t>PCID-11</t>
  </si>
  <si>
    <t>Does the system or products use a third party to collect, store, process, or transmit cardholder (payment/credit/debt card) data?</t>
  </si>
  <si>
    <t>CSC 12, CSC 13</t>
  </si>
  <si>
    <t>PCID-12</t>
  </si>
  <si>
    <t xml:space="preserve">Include documentation describing the systems' abilities to comply with the PCI DSS and any features or capabilities of the system that must be added or changed in order to operate in compliance with the standards. </t>
  </si>
  <si>
    <t>Cyber Risk policy</t>
  </si>
  <si>
    <t>Reverse proxy; rules for XSS/SQL Inj.</t>
  </si>
  <si>
    <t>CTO/Sys Admin</t>
  </si>
  <si>
    <t>Ensure that all parts of FIDP-03 are clearly stated in your response.</t>
  </si>
  <si>
    <t xml:space="preserve">(1) Form is provided 
(2) Upon receipt of form, request is evaluated 
(3) request approved or denied 
(4) request implemented or form is resent </t>
  </si>
  <si>
    <t>Stackdriver monitoring is used</t>
  </si>
  <si>
    <t>SNORT</t>
  </si>
  <si>
    <t>Are you employing any next-generation persistent threat (NGPT) monitoring?</t>
  </si>
  <si>
    <t>Internally</t>
  </si>
  <si>
    <t>In addtion to stating your intrusion monitoring strategy, provide a brief summary of its implementation.</t>
  </si>
  <si>
    <t>All network changes, IP Address or firewall configuration changes are maintained in audit report</t>
  </si>
  <si>
    <t xml:space="preserve">Ensure that all supported operating systems are listed - be sure to provide version number, where relevant. </t>
  </si>
  <si>
    <t>Ensure that all elements of MAPP-02  are clearly stated in your response. (i.e. (architecture AND functionality are defined)</t>
  </si>
  <si>
    <t>Ensure that all elements of MAPP-11  are clearly stated in your response.</t>
  </si>
  <si>
    <t>Does your organization have physical security controls and policies in place?</t>
  </si>
  <si>
    <t>fingerprint scanner, security cameras</t>
  </si>
  <si>
    <t>google.com/security</t>
  </si>
  <si>
    <t>Can you share the organization chart, mission statement, and policies for your information security unit?</t>
  </si>
  <si>
    <t>We need an NDA to do so</t>
  </si>
  <si>
    <t>Patches to software, depending on severity may be done at anytime; logs of all patches</t>
  </si>
  <si>
    <t>Team is required to take a secure coding class each year.  Sans.org</t>
  </si>
  <si>
    <t>optimized to prevent injections, xss; use of direct object ref; functional level access</t>
  </si>
  <si>
    <t>(1) Requirements created 
(2) Test Plan started 
(3) code pushed to dev environment 
(4) test plan modified 
(5) test plan succeeds/fails 
(6) code move to staging environment, retested 
(7) deployed</t>
  </si>
  <si>
    <t>(1) Requirements provided / reviewed by software team for security issues 
(2) Code peer reviewed, comments reviewed 
(3) Test plan created and reviewed by software team 
(4) Tests/automated testing</t>
  </si>
  <si>
    <t>Agile</t>
  </si>
  <si>
    <t>All incidents are reported within 48 hours of identification; updates provided as needed.</t>
  </si>
  <si>
    <t>48hrs</t>
  </si>
  <si>
    <t>Only for technology and finance teams</t>
  </si>
  <si>
    <t>In our company handbook, there is a section on information security.  IT team has an internal wiki with more detailed info</t>
  </si>
  <si>
    <t>Once a year we have a day long information security training; training is mandatory</t>
  </si>
  <si>
    <t>We audit our logs once a month to look for any aberrations</t>
  </si>
  <si>
    <t>email:  support@ivy.ai</t>
  </si>
  <si>
    <t>We provide a sandbox link for testing</t>
  </si>
  <si>
    <t>HECVAT: Assessment Report for Analysts</t>
  </si>
  <si>
    <t>1 full time tester, product manager, and dev team test; as mentioned above, testing happens on Dev -&gt; pass/fail -&gt; move to staging pass/fail -&gt; move to production. We leverage automated testing via Bamboo for common repeateable tests (needs updating?)</t>
  </si>
  <si>
    <t>Provide a valid URL to your Quality Assurance program or submit it along with this fully-populated HECVAT.</t>
  </si>
  <si>
    <t>We provide a full audit trail of our work for our partners to review at any time</t>
  </si>
  <si>
    <t>no plans at this point</t>
  </si>
  <si>
    <t>Google</t>
  </si>
  <si>
    <t>Do you have a systems management and configuration strategy that encompasses servers, appliances, and mobile devices (company and employee owned)?</t>
  </si>
  <si>
    <r>
      <t xml:space="preserve">Are your </t>
    </r>
    <r>
      <rPr>
        <rFont val="Verdana"/>
        <i/>
        <color rgb="FF000000"/>
        <sz val="11.0"/>
      </rPr>
      <t>applications</t>
    </r>
    <r>
      <rPr>
        <rFont val="Verdana"/>
        <color rgb="FF000000"/>
        <sz val="11.0"/>
      </rPr>
      <t xml:space="preserve"> scanned externally for vulnerabilities?</t>
    </r>
  </si>
  <si>
    <t>HECVAT Version</t>
  </si>
  <si>
    <t>Full</t>
  </si>
  <si>
    <t>Vendor Email Address</t>
  </si>
  <si>
    <t>6/30/2018, planned for 6/2019</t>
  </si>
  <si>
    <t>Date Prepared</t>
  </si>
  <si>
    <t>We run a vulnerability scan on our staging environment prior to passing the tests before moving to prod</t>
  </si>
  <si>
    <t>Institution's Security Framework</t>
  </si>
  <si>
    <r>
      <t xml:space="preserve">Are your </t>
    </r>
    <r>
      <rPr>
        <rFont val="Verdana"/>
        <i/>
        <color rgb="FF000000"/>
        <sz val="11.0"/>
      </rPr>
      <t>systems</t>
    </r>
    <r>
      <rPr>
        <rFont val="Verdana"/>
        <color rgb="FF000000"/>
        <sz val="11.0"/>
      </rPr>
      <t xml:space="preserve"> scanned externally for vulnerabilities?</t>
    </r>
  </si>
  <si>
    <t>Trying to have this in place by end of Q2</t>
  </si>
  <si>
    <t>OpenVAS</t>
  </si>
  <si>
    <t>Ensure that all elements of VULN-06 are clearly stated in your response.</t>
  </si>
  <si>
    <t>NDA</t>
  </si>
  <si>
    <t>Report Sections</t>
  </si>
  <si>
    <t>WAF rules, escaping submission data, etc.</t>
  </si>
  <si>
    <t>Max_Score</t>
  </si>
  <si>
    <t>Score</t>
  </si>
  <si>
    <t>Score %</t>
  </si>
  <si>
    <t>Ensure that all elements of VULN-08 are clearly stated in your response.</t>
  </si>
  <si>
    <t>Clients may run tests on chatbot to test for vulnerabilities</t>
  </si>
  <si>
    <t>Refer to HIPAA regulations documentation for supplemental guidance in this section.</t>
  </si>
  <si>
    <t>Refer to PCI DSS Security Standards for supplemental guidance in this section</t>
  </si>
  <si>
    <t>Overall Score</t>
  </si>
  <si>
    <t>Qualitative Questions</t>
  </si>
  <si>
    <t>ID</t>
  </si>
  <si>
    <t>Question</t>
  </si>
  <si>
    <t>Vendor Answer</t>
  </si>
  <si>
    <t>Compliant?</t>
  </si>
  <si>
    <t>HIPAA Section Required</t>
  </si>
  <si>
    <t>Mobile App Section Required</t>
  </si>
  <si>
    <t>Third  Party  Section Required</t>
  </si>
  <si>
    <t>Business Continuity  Section Required</t>
  </si>
  <si>
    <t>Disaster Recovery Section Required</t>
  </si>
  <si>
    <t>PCI DSS  Section Required</t>
  </si>
  <si>
    <t>Policies for information security</t>
  </si>
  <si>
    <t>5.1.2</t>
  </si>
  <si>
    <t>Review of the policies for information security</t>
  </si>
  <si>
    <t>6.1.1</t>
  </si>
  <si>
    <t>Information security roles and responsibilities</t>
  </si>
  <si>
    <t>6.1.2</t>
  </si>
  <si>
    <t>Segregation of duties</t>
  </si>
  <si>
    <t>6.1.3</t>
  </si>
  <si>
    <t>Contact with authorities</t>
  </si>
  <si>
    <t>6.1.4</t>
  </si>
  <si>
    <t>Contact with special interest groups</t>
  </si>
  <si>
    <t>6.1.5</t>
  </si>
  <si>
    <t>Information security in project management</t>
  </si>
  <si>
    <t>Mobile device policy</t>
  </si>
  <si>
    <t>6.2.2</t>
  </si>
  <si>
    <t>Teleworking</t>
  </si>
  <si>
    <t>Screening</t>
  </si>
  <si>
    <t>Terms and conditions of employment</t>
  </si>
  <si>
    <t>7.2.1</t>
  </si>
  <si>
    <t>Management responsibilities</t>
  </si>
  <si>
    <t>Information security awareness, education and training</t>
  </si>
  <si>
    <t>7.2.3</t>
  </si>
  <si>
    <t>Disciplinary process</t>
  </si>
  <si>
    <t>7.3.1</t>
  </si>
  <si>
    <t>Termination or change of employment responsibilities</t>
  </si>
  <si>
    <t>8.1.1</t>
  </si>
  <si>
    <t>Inventory of assets</t>
  </si>
  <si>
    <t>Ownership of assets</t>
  </si>
  <si>
    <t>8.1.3</t>
  </si>
  <si>
    <t>Acceptable use of assets</t>
  </si>
  <si>
    <t>Return of assets</t>
  </si>
  <si>
    <t>8.2.1</t>
  </si>
  <si>
    <t>Classification of information</t>
  </si>
  <si>
    <t>8.2.2</t>
  </si>
  <si>
    <t>Labelling of information</t>
  </si>
  <si>
    <t>Handling of assets</t>
  </si>
  <si>
    <t>Management of removable media</t>
  </si>
  <si>
    <t>8.3.2</t>
  </si>
  <si>
    <t>Disposal of media</t>
  </si>
  <si>
    <t>8.3.3</t>
  </si>
  <si>
    <t>Physical media transfer</t>
  </si>
  <si>
    <t>Access control policy</t>
  </si>
  <si>
    <t>Access to networks and network services</t>
  </si>
  <si>
    <t>9.2.1</t>
  </si>
  <si>
    <t>User registration and de-registration</t>
  </si>
  <si>
    <t>9.2.2</t>
  </si>
  <si>
    <t>User access provisioning</t>
  </si>
  <si>
    <t>Management of privileged access rights</t>
  </si>
  <si>
    <t>9.2.4</t>
  </si>
  <si>
    <t>Management of secret authentication information of users</t>
  </si>
  <si>
    <t>Review of user access rights</t>
  </si>
  <si>
    <t>Removal or adjustment of access rights</t>
  </si>
  <si>
    <t>9.3.1</t>
  </si>
  <si>
    <t>Use of secret authentication information</t>
  </si>
  <si>
    <t>9.4.1</t>
  </si>
  <si>
    <t>Information access restriction</t>
  </si>
  <si>
    <t>Secure log-on procedures</t>
  </si>
  <si>
    <t>Password management system</t>
  </si>
  <si>
    <t>9.4.4</t>
  </si>
  <si>
    <t>Use of privileged utility programs</t>
  </si>
  <si>
    <t>9.4.5</t>
  </si>
  <si>
    <t>Access control to program source code</t>
  </si>
  <si>
    <t>Policy on the use of cryptographic controls</t>
  </si>
  <si>
    <t>Key management</t>
  </si>
  <si>
    <t>Physical security perimeter</t>
  </si>
  <si>
    <t>Physical entry controls</t>
  </si>
  <si>
    <t>11.1.3</t>
  </si>
  <si>
    <t>Securing offices, rooms and facilities</t>
  </si>
  <si>
    <t>Protecting against external and environmental threats</t>
  </si>
  <si>
    <t>11.1.5</t>
  </si>
  <si>
    <t>Working in secure areas</t>
  </si>
  <si>
    <t>11.1.6</t>
  </si>
  <si>
    <t>Delivery and loading areas</t>
  </si>
  <si>
    <t>Equipment siting and protection</t>
  </si>
  <si>
    <t>11.2.2</t>
  </si>
  <si>
    <t>Supporting utilities</t>
  </si>
  <si>
    <t>11.2.3</t>
  </si>
  <si>
    <t>Cabling security</t>
  </si>
  <si>
    <t>11.2.4</t>
  </si>
  <si>
    <t>Equipment maintenance</t>
  </si>
  <si>
    <t>11.2.5</t>
  </si>
  <si>
    <t>Removal of assets</t>
  </si>
  <si>
    <t>Security of equipment and assets off-premises</t>
  </si>
  <si>
    <t>11.2.7</t>
  </si>
  <si>
    <t>Secure disposal or re-use of equipment</t>
  </si>
  <si>
    <t>11.2.8</t>
  </si>
  <si>
    <t>Unattended user equipment</t>
  </si>
  <si>
    <t>11.2.9</t>
  </si>
  <si>
    <t>Clear desk and clear screen policy</t>
  </si>
  <si>
    <t>Documented operating procedures</t>
  </si>
  <si>
    <t>Change management</t>
  </si>
  <si>
    <t>12.1.3</t>
  </si>
  <si>
    <t>Capacity management</t>
  </si>
  <si>
    <t>Separation of development, testing and operational environments</t>
  </si>
  <si>
    <t>12.2.1</t>
  </si>
  <si>
    <t>Controls against malware</t>
  </si>
  <si>
    <t>Information backup</t>
  </si>
  <si>
    <t>Event logging</t>
  </si>
  <si>
    <t>12.4.2</t>
  </si>
  <si>
    <t>Protection of log information</t>
  </si>
  <si>
    <t>12.4.3</t>
  </si>
  <si>
    <t>Administrator and operator logs</t>
  </si>
  <si>
    <t>12.4.4</t>
  </si>
  <si>
    <t>Clock synchronisation</t>
  </si>
  <si>
    <t>Installation of software on operational systems</t>
  </si>
  <si>
    <t>Management of technical vulnerabilities</t>
  </si>
  <si>
    <t>12.6.2</t>
  </si>
  <si>
    <t>Restrictions on software installation</t>
  </si>
  <si>
    <t>Information systems audit controls</t>
  </si>
  <si>
    <t xml:space="preserve">Network controls </t>
  </si>
  <si>
    <t>Security of network services</t>
  </si>
  <si>
    <t>13.1.3</t>
  </si>
  <si>
    <t>Segregation in networks</t>
  </si>
  <si>
    <t>13.2.1</t>
  </si>
  <si>
    <t>Information transfer policies and procedures</t>
  </si>
  <si>
    <t>13.2.2</t>
  </si>
  <si>
    <t>Agreements on information transfer</t>
  </si>
  <si>
    <t>13.2.3</t>
  </si>
  <si>
    <t>Electronic messaging</t>
  </si>
  <si>
    <t>13.2.4</t>
  </si>
  <si>
    <t>Confidentiality or non-disclosure agreements</t>
  </si>
  <si>
    <t>14.1.1</t>
  </si>
  <si>
    <t>Information Security requirements analysis and specification</t>
  </si>
  <si>
    <t>14.1.2</t>
  </si>
  <si>
    <t>Securing application services on public networks</t>
  </si>
  <si>
    <t>14.1.3</t>
  </si>
  <si>
    <t>Protecting application services transactions</t>
  </si>
  <si>
    <t>Secure development policy</t>
  </si>
  <si>
    <t>14.2.2</t>
  </si>
  <si>
    <t>System change control procedures</t>
  </si>
  <si>
    <t>14.2.3</t>
  </si>
  <si>
    <t>Technical review of applications after operating platform changes</t>
  </si>
  <si>
    <t>14.2.4</t>
  </si>
  <si>
    <t>Restrictions on changes to software packages</t>
  </si>
  <si>
    <t>Secure system engineering principles</t>
  </si>
  <si>
    <t>14.2.6</t>
  </si>
  <si>
    <t>Secure development environment</t>
  </si>
  <si>
    <t>14.2.7</t>
  </si>
  <si>
    <t>Outsourced development</t>
  </si>
  <si>
    <t>System security testing</t>
  </si>
  <si>
    <t>14.2.9</t>
  </si>
  <si>
    <t>System acceptance testing</t>
  </si>
  <si>
    <t>14.3.1</t>
  </si>
  <si>
    <t>Protection of test data</t>
  </si>
  <si>
    <t>15.1.1</t>
  </si>
  <si>
    <t>Information security policy for supplier relationships</t>
  </si>
  <si>
    <t>15.1.2</t>
  </si>
  <si>
    <t>Addressing security within supplier agreements</t>
  </si>
  <si>
    <t>Information and communication technology supply chain</t>
  </si>
  <si>
    <t>Monitoring and review of supplier services</t>
  </si>
  <si>
    <t>15.2.2</t>
  </si>
  <si>
    <t>Managing changes to supplier services</t>
  </si>
  <si>
    <t>Responsibilities and procedures</t>
  </si>
  <si>
    <t>16.1.2</t>
  </si>
  <si>
    <t>Reporting information security events</t>
  </si>
  <si>
    <t>16.1.3</t>
  </si>
  <si>
    <t>Reporting information security weaknesses</t>
  </si>
  <si>
    <t>16.1.4</t>
  </si>
  <si>
    <t>Assessment of and decision on information security events</t>
  </si>
  <si>
    <t>Response to information security incidents</t>
  </si>
  <si>
    <t>16.1.6</t>
  </si>
  <si>
    <t>Learning from information security incidents</t>
  </si>
  <si>
    <t>16.1.7</t>
  </si>
  <si>
    <t>Collection of evidence</t>
  </si>
  <si>
    <t>Planning information security continuity</t>
  </si>
  <si>
    <t>Implementing information security continuity</t>
  </si>
  <si>
    <t>Verify, review and evaluate information security continuity</t>
  </si>
  <si>
    <t>Availability of information processing facilities</t>
  </si>
  <si>
    <t>Identification of applicable legislation and contractual requirements</t>
  </si>
  <si>
    <t>18.1.2</t>
  </si>
  <si>
    <t>Intellectual property rights</t>
  </si>
  <si>
    <t>18.1.3</t>
  </si>
  <si>
    <t>Protection of records</t>
  </si>
  <si>
    <t>Privacy and protection of personally identifiable information</t>
  </si>
  <si>
    <t>18.1.5</t>
  </si>
  <si>
    <t>Regulation of cryptographic controls</t>
  </si>
  <si>
    <t>Independent review of information security</t>
  </si>
  <si>
    <t>18.2.2</t>
  </si>
  <si>
    <t>Compliance with security policies and standards</t>
  </si>
  <si>
    <t>18.2.3</t>
  </si>
  <si>
    <t>Technical compliance review</t>
  </si>
  <si>
    <t>Handling of assets; Policy on the use of cryptographic controls</t>
  </si>
  <si>
    <t>11.1.1,11.1.2</t>
  </si>
  <si>
    <t>Physical security perimeter; Physical entry controls</t>
  </si>
  <si>
    <t>Management of privileged access rights; Use of secret authentication information; Password management system</t>
  </si>
  <si>
    <t>Access control policy; Management of privileged access rights; Use of secret authentication information; Password management system</t>
  </si>
  <si>
    <t>Inventory of Authorized and Unauthorized Devices</t>
  </si>
  <si>
    <t>Inventory of Authorized and Unauthorized Software</t>
  </si>
  <si>
    <t>Secure Configurations for Hardware and Software</t>
  </si>
  <si>
    <t>Continuous Vulnerability Assessment and Remediation</t>
  </si>
  <si>
    <t>Malware Defenses</t>
  </si>
  <si>
    <t>Application Software Security</t>
  </si>
  <si>
    <t>Wireless Access Control</t>
  </si>
  <si>
    <t>CSC 8</t>
  </si>
  <si>
    <t>Data Recovery Capability</t>
  </si>
  <si>
    <t>Security Skills Assessment and Appropriate Training to Fill Gaps</t>
  </si>
  <si>
    <t>Secure Configurations for Network Devices</t>
  </si>
  <si>
    <t>CSC 11</t>
  </si>
  <si>
    <t>Limitation and Control of Network Ports</t>
  </si>
  <si>
    <t>Controlled Use of Administrative Privileges</t>
  </si>
  <si>
    <t>Boundary Defense</t>
  </si>
  <si>
    <t>Maintenance, Monitoring, and Analysis of Audit Logs</t>
  </si>
  <si>
    <t>CSC 15</t>
  </si>
  <si>
    <t>Controlled Access Based on the Need to Know</t>
  </si>
  <si>
    <t>Account Monitoring and Control</t>
  </si>
  <si>
    <t>Data Protection</t>
  </si>
  <si>
    <t>Incident Response and Management</t>
  </si>
  <si>
    <t>Secure Network Engineering</t>
  </si>
  <si>
    <t>Penetration Tests and Red Team Exercises</t>
  </si>
  <si>
    <t>ID.AM-1</t>
  </si>
  <si>
    <t xml:space="preserve"> Physical devices and systems within the organization are inventoried</t>
  </si>
  <si>
    <t xml:space="preserve"> Software platforms and applications within the organization are inventoried</t>
  </si>
  <si>
    <t>ID.AM-3</t>
  </si>
  <si>
    <t xml:space="preserve"> Organizational communication and data flows are mapped</t>
  </si>
  <si>
    <t>ID.AM-4</t>
  </si>
  <si>
    <t xml:space="preserve"> External information systems are catalogued</t>
  </si>
  <si>
    <t xml:space="preserve"> Resources (e.g., hardware, devices, data, and software) are prioritized based on their classification, criticality, and business value </t>
  </si>
  <si>
    <t>ID.AM-6</t>
  </si>
  <si>
    <t xml:space="preserve"> Cybersecurity roles and responsibilities for the entire workforce and third-party stakeholders (e.g., suppliers, customers, partners) are established</t>
  </si>
  <si>
    <t>ID.BE-1</t>
  </si>
  <si>
    <t xml:space="preserve"> The organization’s role in the supply chain is identified and communicated</t>
  </si>
  <si>
    <t>ID.BE-2</t>
  </si>
  <si>
    <t xml:space="preserve"> The organization’s place in critical infrastructure and its industry sector is identified and communicated</t>
  </si>
  <si>
    <t>ID.BE-3</t>
  </si>
  <si>
    <t xml:space="preserve"> Priorities for organizational mission, objectives, and activities are established and communicated</t>
  </si>
  <si>
    <t>ID.BE-4</t>
  </si>
  <si>
    <t xml:space="preserve"> Dependencies and critical functions for delivery of critical services are established</t>
  </si>
  <si>
    <t>ID.BE-5</t>
  </si>
  <si>
    <t xml:space="preserve"> Resilience requirements to support delivery of critical services are established</t>
  </si>
  <si>
    <t>ID.GV-1</t>
  </si>
  <si>
    <t xml:space="preserve"> Organizational information security policy is established</t>
  </si>
  <si>
    <t xml:space="preserve"> Information security roles &amp; responsibilities are coordinated and aligned with internal roles and external partners</t>
  </si>
  <si>
    <t xml:space="preserve"> Legal and regulatory requirements regarding cybersecurity, including privacy and civil liberties obligations, are understood and managed</t>
  </si>
  <si>
    <t>ID.GV-4</t>
  </si>
  <si>
    <t xml:space="preserve"> Governance and risk management processes address cybersecurity risks</t>
  </si>
  <si>
    <t>ID.RA-1</t>
  </si>
  <si>
    <t xml:space="preserve"> Asset vulnerabilities are identified and documented</t>
  </si>
  <si>
    <t>ID.RA-2</t>
  </si>
  <si>
    <t xml:space="preserve"> Threat and vulnerability information is received from information sharing forums and sources</t>
  </si>
  <si>
    <t>ID.RA-3</t>
  </si>
  <si>
    <t xml:space="preserve"> Threats, both internal and external, are identified and documented</t>
  </si>
  <si>
    <t>ID.RA-4</t>
  </si>
  <si>
    <t xml:space="preserve"> Potential business impacts and likelihoods are identified</t>
  </si>
  <si>
    <t>ID.RA-5</t>
  </si>
  <si>
    <t xml:space="preserve"> Threats, vulnerabilities, likelihoods, and impacts are used to determine risk</t>
  </si>
  <si>
    <t>ID.RA-6</t>
  </si>
  <si>
    <t xml:space="preserve"> Risk responses are identified and prioritized</t>
  </si>
  <si>
    <t>ID.RM-1</t>
  </si>
  <si>
    <t xml:space="preserve"> Risk management processes are established, managed, and agreed to by organizational stakeholders</t>
  </si>
  <si>
    <t>ID.RM-2</t>
  </si>
  <si>
    <t xml:space="preserve"> Organizational risk tolerance is determined and clearly expressed</t>
  </si>
  <si>
    <t>ID.RM-3</t>
  </si>
  <si>
    <t xml:space="preserve"> The organization’s determination of risk tolerance is informed by its role in critical infrastructure and sector specific risk analysis</t>
  </si>
  <si>
    <t xml:space="preserve"> Identities and credentials are managed for authorized devices and users</t>
  </si>
  <si>
    <t xml:space="preserve"> Physical access to assets is managed and protected</t>
  </si>
  <si>
    <t>PR.AC-3</t>
  </si>
  <si>
    <t xml:space="preserve"> Remote access is managed</t>
  </si>
  <si>
    <t xml:space="preserve"> Access permissions are managed, incorporating the principles of least privilege and separation of duties</t>
  </si>
  <si>
    <t xml:space="preserve"> Network integrity is protected, incorporating network segregation where appropriate</t>
  </si>
  <si>
    <t xml:space="preserve"> All users are informed and trained </t>
  </si>
  <si>
    <t>PR.AT-2</t>
  </si>
  <si>
    <t xml:space="preserve"> Privileged users understand roles &amp; responsibilities </t>
  </si>
  <si>
    <t>PR.AT-3</t>
  </si>
  <si>
    <t xml:space="preserve"> Third-party stakeholders (e.g., suppliers, customers, partners) understand roles &amp; responsibilities </t>
  </si>
  <si>
    <t>PR.AT-4</t>
  </si>
  <si>
    <t xml:space="preserve"> Senior executives understand roles &amp; responsibilities </t>
  </si>
  <si>
    <t>PR.AT-5</t>
  </si>
  <si>
    <t xml:space="preserve"> Physical and information security personnel understand roles &amp; responsibilities </t>
  </si>
  <si>
    <t xml:space="preserve"> Data-at-rest is protected</t>
  </si>
  <si>
    <t xml:space="preserve"> Data-in-transit is protected</t>
  </si>
  <si>
    <t xml:space="preserve"> Assets are formally managed throughout removal, transfers, and disposition</t>
  </si>
  <si>
    <t xml:space="preserve"> Adequate capacity to ensure availability is maintained</t>
  </si>
  <si>
    <t xml:space="preserve"> Protections against data leaks are implemented</t>
  </si>
  <si>
    <t xml:space="preserve"> Integrity checking mechanisms are used to verify software, firmware, and information integrity</t>
  </si>
  <si>
    <t xml:space="preserve"> The development and testing environment(s) are separate from the production environment</t>
  </si>
  <si>
    <t xml:space="preserve"> A baseline configuration of information technology/industrial control systems is created and maintained</t>
  </si>
  <si>
    <t xml:space="preserve"> A System Development Life Cycle to manage systems is implemented</t>
  </si>
  <si>
    <t xml:space="preserve"> Configuration change control processes are in place</t>
  </si>
  <si>
    <t xml:space="preserve"> Backups of information are conducted, maintained, and tested periodically</t>
  </si>
  <si>
    <t>PR.IP-5</t>
  </si>
  <si>
    <t xml:space="preserve"> Policy and regulations regarding the physical operating environment for organizational assets are met</t>
  </si>
  <si>
    <t>PR.IP-6</t>
  </si>
  <si>
    <t xml:space="preserve"> Data is destroyed according to policy</t>
  </si>
  <si>
    <t>PR.IP-7</t>
  </si>
  <si>
    <t xml:space="preserve"> Protection processes are continuously improved</t>
  </si>
  <si>
    <t>PR.IP-8</t>
  </si>
  <si>
    <t xml:space="preserve"> Effectiveness of protection technologies is shared with appropriate parties</t>
  </si>
  <si>
    <t xml:space="preserve"> Response plans (Incident Response and Business Continuity) and recovery plans (Incident Recovery and Disaster Recovery) are in place and managed</t>
  </si>
  <si>
    <t>PR.IP-10</t>
  </si>
  <si>
    <t xml:space="preserve"> Response and recovery plans are tested</t>
  </si>
  <si>
    <t xml:space="preserve"> Cybersecurity is included in human resources practices (e.g., deprovisioning, personnel screening)</t>
  </si>
  <si>
    <t xml:space="preserve"> A vulnerability management plan is developed and implemented</t>
  </si>
  <si>
    <t>PR.MA-1</t>
  </si>
  <si>
    <t xml:space="preserve"> Maintenance and repair of organizational assets is performed and logged in a timely manner, with approved and controlled tools</t>
  </si>
  <si>
    <t>PR.MA-2</t>
  </si>
  <si>
    <t xml:space="preserve"> Remote maintenance of organizational assets is approved, logged, and performed in a manner that prevents unauthorized access</t>
  </si>
  <si>
    <t xml:space="preserve"> Audit/log records are determined, documented, implemented, and reviewed in accordance with policy</t>
  </si>
  <si>
    <t>PR.PT-2</t>
  </si>
  <si>
    <t xml:space="preserve"> Removable media is protected and its use restricted according to policy</t>
  </si>
  <si>
    <t xml:space="preserve"> Access to systems and assets is controlled, incorporating the principle of least functionality</t>
  </si>
  <si>
    <t xml:space="preserve"> Communications and control networks are protected</t>
  </si>
  <si>
    <t>DE.AE-1</t>
  </si>
  <si>
    <t xml:space="preserve"> A baseline of network operations and expected data flows for users and systems is established and managed</t>
  </si>
  <si>
    <t>DE.AE-2</t>
  </si>
  <si>
    <t xml:space="preserve"> Detected events are analyzed to understand attack targets and methods</t>
  </si>
  <si>
    <t>DE.AE-3</t>
  </si>
  <si>
    <t xml:space="preserve"> Event data are aggregated and correlated from multiple sources and sensors</t>
  </si>
  <si>
    <t>DE.AE-4</t>
  </si>
  <si>
    <t xml:space="preserve"> Impact of events is determined</t>
  </si>
  <si>
    <t>DE.AE-5</t>
  </si>
  <si>
    <t xml:space="preserve"> Incident alert thresholds are established</t>
  </si>
  <si>
    <t xml:space="preserve"> The network is monitored to detect potential cybersecurity events</t>
  </si>
  <si>
    <t xml:space="preserve"> The physical environment is monitored to detect potential cybersecurity events</t>
  </si>
  <si>
    <t>DE.CM-3</t>
  </si>
  <si>
    <t xml:space="preserve"> Personnel activity is monitored to detect potential cybersecurity events</t>
  </si>
  <si>
    <t>DE.CM-4</t>
  </si>
  <si>
    <t xml:space="preserve"> Malicious code is detected</t>
  </si>
  <si>
    <t>DE.CM-5</t>
  </si>
  <si>
    <t xml:space="preserve"> Unauthorized mobile code is detected</t>
  </si>
  <si>
    <t>DE.CM-6</t>
  </si>
  <si>
    <t xml:space="preserve"> External service provider activity is monitored to detect potential cybersecurity events</t>
  </si>
  <si>
    <t xml:space="preserve"> Monitoring for unauthorized personnel, connections, devices, and software is performed</t>
  </si>
  <si>
    <t xml:space="preserve"> Vulnerability scans are performed</t>
  </si>
  <si>
    <t>DE.DP-1</t>
  </si>
  <si>
    <t xml:space="preserve"> Roles and responsibilities for detection are well defined to ensure accountability</t>
  </si>
  <si>
    <t>DE.DP-2</t>
  </si>
  <si>
    <t xml:space="preserve"> Detection activities comply with all applicable requirements</t>
  </si>
  <si>
    <t>DE.DP-3</t>
  </si>
  <si>
    <t xml:space="preserve"> Detection processes are tested</t>
  </si>
  <si>
    <t>DE.DP-4</t>
  </si>
  <si>
    <t xml:space="preserve"> Event detection information is communicated to appropriate parties</t>
  </si>
  <si>
    <t>DE.DP-5</t>
  </si>
  <si>
    <t xml:space="preserve"> Detection processes are continuously improved</t>
  </si>
  <si>
    <t>RS.RP-1</t>
  </si>
  <si>
    <t xml:space="preserve"> Response plan is executed during or after an event</t>
  </si>
  <si>
    <t>RS.CO-1</t>
  </si>
  <si>
    <t xml:space="preserve"> Personnel know their roles and order of operations when a response is needed</t>
  </si>
  <si>
    <t>RS.CO-2</t>
  </si>
  <si>
    <t xml:space="preserve"> Events are reported consistent with established criteria</t>
  </si>
  <si>
    <t>RS.CO-3</t>
  </si>
  <si>
    <t xml:space="preserve"> Information is shared consistent with response plans</t>
  </si>
  <si>
    <t>RS.CO-4</t>
  </si>
  <si>
    <t xml:space="preserve"> Coordination with stakeholders occurs consistent with response plans</t>
  </si>
  <si>
    <t>RS.CO-5</t>
  </si>
  <si>
    <t xml:space="preserve"> Voluntary information sharing occurs with external stakeholders to achieve broader cybersecurity situational awareness </t>
  </si>
  <si>
    <t>RS.AN-1</t>
  </si>
  <si>
    <t xml:space="preserve"> Notifications from detection systems are investigated </t>
  </si>
  <si>
    <t>RS.AN-2</t>
  </si>
  <si>
    <t xml:space="preserve"> The impact of the incident is understood</t>
  </si>
  <si>
    <t>RS.AN-3</t>
  </si>
  <si>
    <t xml:space="preserve"> Forensics are performed</t>
  </si>
  <si>
    <t>RS.AN-4</t>
  </si>
  <si>
    <t xml:space="preserve"> Incidents are categorized consistent with response plans</t>
  </si>
  <si>
    <t>RS.MI-1</t>
  </si>
  <si>
    <t xml:space="preserve"> Incidents are contained</t>
  </si>
  <si>
    <t>RS.MI-2</t>
  </si>
  <si>
    <t xml:space="preserve"> Incidents are mitigated</t>
  </si>
  <si>
    <t>RS.MI-3</t>
  </si>
  <si>
    <t xml:space="preserve"> Newly identified vulnerabilities are mitigated or documented as accepted risks</t>
  </si>
  <si>
    <t>RS.IM-1</t>
  </si>
  <si>
    <t xml:space="preserve"> Response plans incorporate lessons learned</t>
  </si>
  <si>
    <t>RS.IM-2</t>
  </si>
  <si>
    <t xml:space="preserve"> Response strategies are updated</t>
  </si>
  <si>
    <t>RC.RP-1</t>
  </si>
  <si>
    <t xml:space="preserve"> Recovery plan is executed during or after an event</t>
  </si>
  <si>
    <t>RC.IM-1</t>
  </si>
  <si>
    <t xml:space="preserve"> Recovery plans incorporate lessons learned</t>
  </si>
  <si>
    <t>RC.IM-2</t>
  </si>
  <si>
    <t xml:space="preserve"> Recovery strategies are updated</t>
  </si>
  <si>
    <t>RC.CO-1</t>
  </si>
  <si>
    <t xml:space="preserve"> Public relations are managed</t>
  </si>
  <si>
    <t>RC.CO-2</t>
  </si>
  <si>
    <t xml:space="preserve"> Reputation after an event is repaired</t>
  </si>
  <si>
    <t>RC.CO-3</t>
  </si>
  <si>
    <t xml:space="preserve"> Recovery activities are communicated to internal stakeholders and executive and management teams</t>
  </si>
  <si>
    <t xml:space="preserve"> Access permissions are managed, incorporating the principles of least privilege and separation of duties;  Access to systems and assets is controlled, incorporating the principle of least functionality</t>
  </si>
  <si>
    <t xml:space="preserve"> Physical devices and systems within the organization are inventoried;  Software platforms and applications within the organization are inventoried;  Organizational communication and data flows are mapped</t>
  </si>
  <si>
    <t xml:space="preserve"> Identities and credentials are managed for authorized devices and users;  Access permissions are managed, incorporating the principles of least privilege and separation of duties</t>
  </si>
  <si>
    <t xml:space="preserve"> Physical access to assets is managed and protected;  Policy and regulations regarding the physical operating environment for organizational assets are met</t>
  </si>
  <si>
    <t xml:space="preserve"> Data-at-rest is protected;  Data-in-transit is protected</t>
  </si>
  <si>
    <t xml:space="preserve"> The network is monitored to detect potential cybersecurity events;  The physical environment is monitored to detect potential cybersecurity events;  Monitoring for unauthorized personnel, connections, devices, and software is performed</t>
  </si>
  <si>
    <t xml:space="preserve"> Physical access to assets is managed and protected;  Physical and information security personnel understand roles &amp; responsibilities ;  Policy and regulations regarding the physical operating environment for organizational assets are met;  The physical environment is monitored to detect potential cybersecurity events</t>
  </si>
  <si>
    <t xml:space="preserve"> Physical access to assets is managed and protected,  Access permissions are managed, incorporating the principles of least privilege and separation of duties;  Data-at-rest is protected;  Assets are formally managed throughout removal, transfers, and disposition;  Protections against data leaks are implemented</t>
  </si>
  <si>
    <t xml:space="preserve"> A baseline configuration of information technology/industrial control systems is created and maintained;  A System Development Life Cycle to manage systems is implemented</t>
  </si>
  <si>
    <t>Limit system access to authorized users, processes acting on behalf of authorized users, and devices (including other systems).</t>
  </si>
  <si>
    <t>Limit system access to the types of transactions and functions that authorized users are permitted to execute.</t>
  </si>
  <si>
    <t>Control the flow of CUI in accordance with approved authorizations.</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</si>
  <si>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</si>
  <si>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</si>
  <si>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</si>
  <si>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</si>
  <si>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</si>
  <si>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Prevent non-privileged users from executing privileged functions and capture the execution of such functions in audit logs.</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</si>
  <si>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</si>
  <si>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</si>
  <si>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</si>
  <si>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</si>
  <si>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</si>
  <si>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</si>
  <si>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</si>
  <si>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</si>
  <si>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</si>
  <si>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</si>
  <si>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</si>
  <si>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</si>
  <si>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</si>
  <si>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</si>
  <si>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</si>
  <si>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</si>
  <si>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Authorize wireless access prior to allowing such connections.</t>
  </si>
  <si>
    <t>3.1.17</t>
  </si>
  <si>
    <t>Protect wireless access using authentication and encryption.</t>
  </si>
  <si>
    <t>3.1.18</t>
  </si>
  <si>
    <t>Control connection of mobile devices.</t>
  </si>
  <si>
    <t>Encrypt CUI on mobile devices and mobile computing platforms.21</t>
  </si>
  <si>
    <t>3.1.20</t>
  </si>
  <si>
    <t>Verify and control/limit connections to and use of external systems.</t>
  </si>
  <si>
    <t>3.1.21</t>
  </si>
  <si>
    <t>Limit use of portable storage devices on external systems.</t>
  </si>
  <si>
    <t>Control CUI posted or processed on publicly accessible systems.</t>
  </si>
  <si>
    <t>Ensure that managers, systems administrators, and users of organizational systems are made aware of the security risks associated with their activities and of the applicable policies, standards, and procedures related to the security of those systems.</t>
  </si>
  <si>
    <t>Ensure that personnel are trained to carry out their assigned information security-related duties and responsibilities.</t>
  </si>
  <si>
    <t>3.2.3</t>
  </si>
  <si>
    <t>Provide security awareness training on recognizing and reporting potential indicators of insider reat.</t>
  </si>
  <si>
    <t>Create and retain system audit logs and records to the extent needed to enable the monitoring, analysis, investigation, and reporting of unlawful or unauthorized system activity.</t>
  </si>
  <si>
    <t>Ensure that the actions of individual system users can be uniquely traced to those users so they can be held accountable for their actions.</t>
  </si>
  <si>
    <t>3.3.3</t>
  </si>
  <si>
    <t>Review and update logged events.</t>
  </si>
  <si>
    <t>3.3.4</t>
  </si>
  <si>
    <t>Alert in the event of an audit logging process failure.</t>
  </si>
  <si>
    <t>3.3.5</t>
  </si>
  <si>
    <t>Correlate audit record review, analysis, and reporting processes for investigation and response to indications of unlawful, unauthorized, suspicious, or unusual activity.</t>
  </si>
  <si>
    <t>3.3.6</t>
  </si>
  <si>
    <t>Provide audit record reduction and report generation to support on-demand analysis and reporting.</t>
  </si>
  <si>
    <t>3.3.7</t>
  </si>
  <si>
    <t>Provide a system capability that compares and synchronizes internal system clocks with an authoritative source to generate time stamps for audit records.</t>
  </si>
  <si>
    <t>3.3.8</t>
  </si>
  <si>
    <t>Protect audit information and audit logging tools from unauthorized access, modification, and deletion.</t>
  </si>
  <si>
    <t>3.3.9</t>
  </si>
  <si>
    <t>Limit management of audit logging functionality to a subset of privileged users.</t>
  </si>
  <si>
    <t>3.4.1</t>
  </si>
  <si>
    <t>Establish and maintain baseline configurations and inventories of organizational systems (including hardware, software, firmware, and documentation) throughout the respective system development life cycles.</t>
  </si>
  <si>
    <t>3.4.2</t>
  </si>
  <si>
    <t>Establish and enforce security configuration settings for information technology products employed in organizational systems.</t>
  </si>
  <si>
    <t>3.4.3</t>
  </si>
  <si>
    <t>Track, review, approve or disapprove, and log changes to organizational systems.</t>
  </si>
  <si>
    <t>Analyze the security impact of changes prior to implementation.</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</si>
  <si>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</si>
  <si>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</si>
  <si>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</si>
  <si>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</si>
  <si>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</si>
  <si>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Restrict, disable, or prevent the use of nonessential programs, functions, ports, protocols, and services.</t>
  </si>
  <si>
    <t>3.4.8</t>
  </si>
  <si>
    <t>Apply deny-by-exception (blacklisting) policy to prevent the use of unauthorized software or deny-all, permit-by-exception (whitelisting) policy to allow the execution of authorized software.</t>
  </si>
  <si>
    <t>Control and monitor user-installed software.</t>
  </si>
  <si>
    <t>Identify system users, processes acting on behalf of users, and devices.</t>
  </si>
  <si>
    <t>3.5.2</t>
  </si>
  <si>
    <t>Authenticate (or verify) the identities of users, processes, or devices, as a prerequisite to allowing access to organizational systems.</t>
  </si>
  <si>
    <t>3.5.3</t>
  </si>
  <si>
    <t>Use multifactor authentication 22 for local and network access 23 to privileged accounts and for network access to non-privileged accounts.</t>
  </si>
  <si>
    <t>3.5.4</t>
  </si>
  <si>
    <t>Employ replay-resistant authentication mechanisms for network access to privileged and non- privileged accounts.</t>
  </si>
  <si>
    <t>3.5.5</t>
  </si>
  <si>
    <t>Prevent reuse of identifiers for a defined period.</t>
  </si>
  <si>
    <t>Disable identifiers after a defined period of inactivity.</t>
  </si>
  <si>
    <t>Enforce a minimum password complexity and change of characters when new passwords are created.</t>
  </si>
  <si>
    <t>3.5.8</t>
  </si>
  <si>
    <t>Prohibit password reuse for a specified number of generations.</t>
  </si>
  <si>
    <t>Allow temporary password use for system logons with an immediate change to a permanent password.</t>
  </si>
  <si>
    <t>Store and transmit only cryptographically-protected passwords.</t>
  </si>
  <si>
    <t>3.5.11</t>
  </si>
  <si>
    <t>Obscure feedback of authentication information.</t>
  </si>
  <si>
    <t>3.6.1</t>
  </si>
  <si>
    <t>Establish an operational incident-handling capability for organizational systems that includes preparation, detection, analysis, containment, recovery, and user response activities.</t>
  </si>
  <si>
    <t>Track, document, and report incidents to designated officials and/or authorities both internal and external to the organization.</t>
  </si>
  <si>
    <t>3.6.3</t>
  </si>
  <si>
    <t>Test the organizational incident response capability.</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</si>
  <si>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</si>
  <si>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</si>
  <si>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</si>
  <si>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</si>
  <si>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</si>
  <si>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</si>
  <si>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</si>
  <si>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</si>
  <si>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</si>
  <si>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Require multifactor authentication to establish nonlocal maintenance sessions via external netw connections and terminate such connections when nonlocal maintenance is complete.</t>
  </si>
  <si>
    <t>3.7.6</t>
  </si>
  <si>
    <t>Supervise the maintenance activities of maintenance personnel without required access authorization.</t>
  </si>
  <si>
    <t>Protect (i.e., physically control and securely store) system media containing CUI, both paper and digital.</t>
  </si>
  <si>
    <t>Limit access to CUI on system media to authorized users.</t>
  </si>
  <si>
    <t>3.8.3</t>
  </si>
  <si>
    <t>Sanitize or destroy system media containing CUI before disposal or release for reuse.</t>
  </si>
  <si>
    <t>3.8.4</t>
  </si>
  <si>
    <t xml:space="preserve">Mark media with necessary CUI markings and distribution limitations. </t>
  </si>
  <si>
    <t>3.8.5</t>
  </si>
  <si>
    <t>Control access to media containing CUI and maintain accountability for media during transport outside of controlled areas.</t>
  </si>
  <si>
    <t>3.8.6</t>
  </si>
  <si>
    <t>Implement cryptographic mechanisms to protect the confidentiality of CUI stored on digital media during transport unless otherwise protected by alternative physical safeguards.</t>
  </si>
  <si>
    <t>3.8.7</t>
  </si>
  <si>
    <t>Control the use of removable media on system components.</t>
  </si>
  <si>
    <t>3.8.8</t>
  </si>
  <si>
    <t>Prohibit the use of portable storage devices when such devices have no identifiable owner.</t>
  </si>
  <si>
    <t>Protect the confidentiality of backup CUI at storage locations.</t>
  </si>
  <si>
    <t>Screen individuals prior to authorizing access to organizational systems containing CUI.</t>
  </si>
  <si>
    <t>3.9.2</t>
  </si>
  <si>
    <t>Ensure that organizational systems containing CUI are protected during and after personnel actions such as terminations and transfers.</t>
  </si>
  <si>
    <t>3.10.1</t>
  </si>
  <si>
    <t>Limit physical access to organizational systems, equipment, and the respective operating environments to authorized individuals.</t>
  </si>
  <si>
    <t>Protect and monitor the physical facility and support infrastructure for organizational systems.</t>
  </si>
  <si>
    <t>3.10.3</t>
  </si>
  <si>
    <t>Escort visitors and monitor visitor activity.</t>
  </si>
  <si>
    <t>3.10.4</t>
  </si>
  <si>
    <t>Maintain audit logs of physical access.</t>
  </si>
  <si>
    <t>3.10.5</t>
  </si>
  <si>
    <t>Control and manage physical access devices.</t>
  </si>
  <si>
    <t>3.10.6</t>
  </si>
  <si>
    <t>Enforce safeguarding measures for CUI at alternate work sites.</t>
  </si>
  <si>
    <t>3.11.1</t>
  </si>
  <si>
    <t>Periodically assess the risk to organizational operations (including mission, functions, image, or reputation), organizational assets, and individuals, resulting from the operation of organizational systems and the associated processing, storage, or transmission of CUI.</t>
  </si>
  <si>
    <t>3.11.2</t>
  </si>
  <si>
    <t>Scan for vulnerabilities in organizational systems and applications periodically and when new vulnerabilities affecting those systems and applications are identified.</t>
  </si>
  <si>
    <t>3.11.3</t>
  </si>
  <si>
    <t>Remediate vulnerabilities in accordance with risk assessments.</t>
  </si>
  <si>
    <t>3.12.1</t>
  </si>
  <si>
    <t>Periodically assess the security controls in organizational systems to determine if the controls are effective in their application.</t>
  </si>
  <si>
    <t>Develop and implement plans of action designed to correct deficiencies and reduce or eliminate vulnerabilities in organizational systems.</t>
  </si>
  <si>
    <t>3.12.3</t>
  </si>
  <si>
    <t>Monitor security controls on an ongoing basis to ensure the continued effectiveness of the controls.</t>
  </si>
  <si>
    <t>3.12.4</t>
  </si>
  <si>
    <t>Develop, document, and periodically update system security plans that describe system boundaries, system environments of operation, how security requirements are implemented, and the relationships with or connections to other systems.</t>
  </si>
  <si>
    <t>3.13.1</t>
  </si>
  <si>
    <t>Monitor, control, and protect communications (i.e., information transmitted or received by organizational systems) at the external boundaries and key internal boundaries of organizational systems.</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</si>
  <si>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</si>
  <si>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</si>
  <si>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</si>
  <si>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</si>
  <si>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Prevent unauthorized and unintended information transfer via shared system resources.</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</si>
  <si>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</si>
  <si>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</si>
  <si>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</si>
  <si>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</si>
  <si>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3.13.7</t>
  </si>
  <si>
    <t>Prevent remote devices from simultaneously establishing non-remote connections with organizational systems and communicating via some other connection to resources in external networks (i.e., split tunneling).</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</si>
  <si>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</si>
  <si>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</si>
  <si>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</si>
  <si>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</si>
  <si>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Establish and manage cryptographic keys for cryptography employed in organizational systems.</t>
  </si>
  <si>
    <t>3.13.11</t>
  </si>
  <si>
    <t>Employ FIPS-validated cryptography when used to protect the confidentiality of CUI.</t>
  </si>
  <si>
    <t>3.13.12</t>
  </si>
  <si>
    <t>Prohibit remote activation 27 of collaborative computing devices and provide indication of devices in use to users present at the device.</t>
  </si>
  <si>
    <t>Control and monitor the use of mobile code.</t>
  </si>
  <si>
    <t>3.13.14</t>
  </si>
  <si>
    <t>Control and monitor the use of Voice over Internet Protocol (VoIP) technologies.</t>
  </si>
  <si>
    <t>3.13.15</t>
  </si>
  <si>
    <t>Protect the authenticity of communications sessions.</t>
  </si>
  <si>
    <t>3.13.16</t>
  </si>
  <si>
    <t>Protect the confidentiality of CUI at rest.</t>
  </si>
  <si>
    <t>3.14.1</t>
  </si>
  <si>
    <t>Identify, report, and correct system flaws in a timely manner.</t>
  </si>
  <si>
    <t>3.14.2</t>
  </si>
  <si>
    <t>Provide protection from malicious code at designated locations within organizational systems.</t>
  </si>
  <si>
    <t>3.14.3</t>
  </si>
  <si>
    <t>Monitor system security alerts and advisories and take action in response.</t>
  </si>
  <si>
    <t>Update malicious code protection mechanisms when new releases are available.</t>
  </si>
  <si>
    <t>3.14.5</t>
  </si>
  <si>
    <t>Perform periodic scans of organizational systems and real-time scans of files from external sources as files are downloaded, opened, or executed.</t>
  </si>
  <si>
    <t>3.14.6</t>
  </si>
  <si>
    <t>Monitor organizational systems, including inbound and outbound communications traffic, to detect attacks and indicators of potential attacks.</t>
  </si>
  <si>
    <t>3.14.7</t>
  </si>
  <si>
    <t>Identify unauthorized use of organizational systems.</t>
  </si>
  <si>
    <t>3.1.1, 3.1.2, 3.1.7</t>
  </si>
  <si>
    <t>Limit system access to authorized users, processes acting on behalf of authorized users, and devices (including other systems).; Limit system access to the types of transactions and functions that authorized users are permitted to execute.; Prevent non-privileged users from executing privileged functions and capture the execution of such functions in audit logs.</t>
  </si>
  <si>
    <t>Monitor and control remote access sessions.; Employ cryptographic mechanisms to protect the confidentiality of remote access sessions.; Route remote access via managed access control points.; Authorize remote execution of privileged commands and remote access to security-relevant information; Limit unsuccessful logon attempts.; Require multifactor authentication to establish nonlocal maintenance sessions via external netw connections and terminate such connections when nonlocal maintenance is complete.; Limit access to CUI on system media to authorized users.; Prevent remote devices from simultaneously establishing non-remote connections with organizational systems and communicating via some other connection to resources in external networks (i.e., split tunneling).</t>
  </si>
  <si>
    <t>Prevent non-privileged users from executing privileged functions and capture the execution of such functions in audit logs.; Ensure that the actions of individual system users can be uniquely traced to those users so they can be held accountable for their actions.; Review and update logged events.; Alert in the event of an audit logging process failure.; Correlate audit record review, analysis, and reporting processes for investigation and response to indications of unlawful, unauthorized, suspicious, or unusual activity.; Track, review, approve or disapprove, and log changes to organizational systems.; Perform maintenance on organizational systems.; Supervise the maintenance activities of maintenance personnel without required access authorization.;Maintain audit logs of physical access.;Control and manage physical access devices.</t>
  </si>
  <si>
    <t>Track, review, approve or disapprove, and log changes to organizational systems.; Analyze the security impact of changes prior to implementation.</t>
  </si>
  <si>
    <t>Control the flow of CUI in accordance with approved authorizations.;Protect (i.e., physically control and securely store) system media containing CUI, both paper and digital.</t>
  </si>
  <si>
    <t>Encrypt CUI on mobile devices and mobile computing platforms.21;Protect (i.e., physically control and securely store) system media containing CUI, both paper and digital.</t>
  </si>
  <si>
    <t>Perform maintenance on organizational systems.;Provide controls on the tools, techniques, mechanisms, and personnel used to conduct system maintenance.;Sanitize or destroy system media containing CUI before disposal or release for reuse.</t>
  </si>
  <si>
    <t>Protect (i.e., physically control and securely store) system media containing CUI, both paper and digital.;Limit access to CUI on system media to authorized users.</t>
  </si>
  <si>
    <t>Establish an operational incident-handling capability for organizational systems that includes preparation, detection, analysis, containment, recovery, and user response activities.;Monitor organizational systems, including inbound and outbound communications traffic, to detect attacks and indicators of potential attacks.;Identify unauthorized use of organizational systems.</t>
  </si>
  <si>
    <t>Limit access to CUI on system media to authorized users.; Limit physical access to organizational systems, equipment, and the respective operating environments to authorized individuals.; Protect and monitor the physical facility and support infrastructure for organizational systems.; Control and manage physical access devices.; Enforce safeguarding measures for CUI at alternate work sites.; Periodically assess the security controls in organizational systems to determine if the controls are effective in their application.</t>
  </si>
  <si>
    <t>Protect (i.e., physically control and securely store) system media containing CUI, both paper and digital.;Control access to media containing CUI and maintain accountability for media during transport outside of controlled areas.;Control the use of removable media on system components.</t>
  </si>
  <si>
    <t>Screen individuals prior to authorizing access to organizational systems containing CUI.;Ensure that organizational systems containing CUI are protected during and after personnel actions such as terminations and transfers.</t>
  </si>
  <si>
    <t>Establish an operational incident-handling capability for organizational systems that includes preparation, detection, analysis, containment, recovery, and user response activities.;Develop and implement plans of action designed to correct deficiencies and reduce or eliminate vulnerabilities in organizational systems.</t>
  </si>
  <si>
    <t>Control connection of mobile devices.;Perform maintenance on organizational systems.;Separate user functionality from system management functionality.</t>
  </si>
  <si>
    <t>Periodically assess the risk to organizational operations (including mission, functions, image, or reputation), organizational assets, and individuals, resulting from the operation of organizational systems and the associated processing, storage, or transmission of CUI.;Scan for vulnerabilities in organizational systems and applications periodically and when new vulnerabilities affecting those systems and applications are identified.;Remediate vulnerabilities in accordance with risk assessments.</t>
  </si>
  <si>
    <r>
      <rPr>
        <rFont val="Helvetica"/>
        <color rgb="FF231F20"/>
        <sz val="10.0"/>
      </rPr>
      <t>AC-1</t>
    </r>
  </si>
  <si>
    <r>
      <rPr>
        <rFont val="Helvetica"/>
        <color rgb="FF231F20"/>
        <sz val="10.0"/>
      </rPr>
      <t>Access Control Policy and Procedures</t>
    </r>
  </si>
  <si>
    <r>
      <rPr>
        <rFont val="Helvetica"/>
        <color rgb="FF231F20"/>
        <sz val="10.0"/>
      </rPr>
      <t>AC-2</t>
    </r>
  </si>
  <si>
    <r>
      <rPr>
        <rFont val="Helvetica"/>
        <color rgb="FF231F20"/>
        <sz val="10.0"/>
      </rPr>
      <t>Account Management</t>
    </r>
  </si>
  <si>
    <r>
      <rPr>
        <rFont val="Helvetica"/>
        <color rgb="FF231F20"/>
        <sz val="10.0"/>
      </rPr>
      <t>AC-3</t>
    </r>
  </si>
  <si>
    <r>
      <rPr>
        <rFont val="Helvetica"/>
        <color rgb="FF231F20"/>
        <sz val="10.0"/>
      </rPr>
      <t>Access Enforcement</t>
    </r>
  </si>
  <si>
    <r>
      <rPr>
        <rFont val="Helvetica"/>
        <color rgb="FF231F20"/>
        <sz val="10.0"/>
      </rPr>
      <t>AC-4</t>
    </r>
  </si>
  <si>
    <r>
      <rPr>
        <rFont val="Helvetica"/>
        <color rgb="FF231F20"/>
        <sz val="10.0"/>
      </rPr>
      <t>Information Flow Enforcement</t>
    </r>
  </si>
  <si>
    <r>
      <rPr>
        <rFont val="Helvetica"/>
        <color rgb="FF231F20"/>
        <sz val="10.0"/>
      </rPr>
      <t>AC-5</t>
    </r>
  </si>
  <si>
    <r>
      <rPr>
        <rFont val="Helvetica"/>
        <color rgb="FF231F20"/>
        <sz val="10.0"/>
      </rPr>
      <t>Separation of Duties</t>
    </r>
  </si>
  <si>
    <r>
      <rPr>
        <rFont val="Helvetica"/>
        <color rgb="FF231F20"/>
        <sz val="10.0"/>
      </rPr>
      <t>AC-6</t>
    </r>
  </si>
  <si>
    <r>
      <rPr>
        <rFont val="Helvetica"/>
        <color rgb="FF231F20"/>
        <sz val="10.0"/>
      </rPr>
      <t>Least Privilege</t>
    </r>
  </si>
  <si>
    <t>AC-6(9)</t>
  </si>
  <si>
    <t>Access Control: Auditing use of privileged functions</t>
  </si>
  <si>
    <r>
      <rPr>
        <rFont val="Helvetica"/>
        <color rgb="FF231F20"/>
        <sz val="10.0"/>
      </rPr>
      <t>AC-7</t>
    </r>
  </si>
  <si>
    <r>
      <rPr>
        <rFont val="Helvetica"/>
        <color rgb="FF231F20"/>
        <sz val="10.0"/>
      </rPr>
      <t>Unsuccessful Logon Attempts</t>
    </r>
  </si>
  <si>
    <r>
      <rPr>
        <rFont val="Helvetica"/>
        <color rgb="FF231F20"/>
        <sz val="10.0"/>
      </rPr>
      <t>AC-8</t>
    </r>
  </si>
  <si>
    <r>
      <rPr>
        <rFont val="Helvetica"/>
        <color rgb="FF231F20"/>
        <sz val="10.0"/>
      </rPr>
      <t>System Use Notification</t>
    </r>
  </si>
  <si>
    <r>
      <rPr>
        <rFont val="Helvetica"/>
        <color rgb="FF231F20"/>
        <sz val="10.0"/>
      </rPr>
      <t>AC-9</t>
    </r>
  </si>
  <si>
    <r>
      <rPr>
        <rFont val="Helvetica"/>
        <color rgb="FF231F20"/>
        <sz val="10.0"/>
      </rPr>
      <t>Previous Logon (Access) Notification</t>
    </r>
  </si>
  <si>
    <r>
      <rPr>
        <rFont val="Helvetica"/>
        <color rgb="FF231F20"/>
        <sz val="10.0"/>
      </rPr>
      <t>AC-10</t>
    </r>
  </si>
  <si>
    <r>
      <rPr>
        <rFont val="Helvetica"/>
        <color rgb="FF231F20"/>
        <sz val="10.0"/>
      </rPr>
      <t>Concurrent Session Control</t>
    </r>
  </si>
  <si>
    <r>
      <rPr>
        <rFont val="Helvetica"/>
        <color rgb="FF231F20"/>
        <sz val="10.0"/>
      </rPr>
      <t>AC-11</t>
    </r>
  </si>
  <si>
    <r>
      <rPr>
        <rFont val="Helvetica"/>
        <color rgb="FF231F20"/>
        <sz val="10.0"/>
      </rPr>
      <t>Session Lock</t>
    </r>
  </si>
  <si>
    <r>
      <rPr>
        <rFont val="Helvetica"/>
        <color rgb="FF231F20"/>
        <sz val="10.0"/>
      </rPr>
      <t>AC-12</t>
    </r>
  </si>
  <si>
    <r>
      <rPr>
        <rFont val="Helvetica"/>
        <color rgb="FF231F20"/>
        <sz val="10.0"/>
      </rPr>
      <t>Session Termination</t>
    </r>
  </si>
  <si>
    <r>
      <rPr>
        <rFont val="Helvetica"/>
        <color rgb="FF231F20"/>
        <sz val="10.0"/>
      </rPr>
      <t>AC-13</t>
    </r>
  </si>
  <si>
    <r>
      <rPr>
        <rFont val="Helvetica"/>
        <b/>
        <color rgb="FF231F20"/>
        <sz val="10.0"/>
      </rPr>
      <t>Withdrawn</t>
    </r>
  </si>
  <si>
    <r>
      <rPr>
        <rFont val="Helvetica"/>
        <color rgb="FF231F20"/>
        <sz val="10.0"/>
      </rPr>
      <t>AC-14</t>
    </r>
  </si>
  <si>
    <t>Permitted Actions without Identification or Authentication</t>
  </si>
  <si>
    <r>
      <rPr>
        <rFont val="Helvetica"/>
        <color rgb="FF231F20"/>
        <sz val="10.0"/>
      </rPr>
      <t>AC-15</t>
    </r>
  </si>
  <si>
    <r>
      <rPr>
        <rFont val="Helvetica"/>
        <b/>
        <color rgb="FF231F20"/>
        <sz val="10.0"/>
      </rPr>
      <t>Withdrawn</t>
    </r>
  </si>
  <si>
    <r>
      <rPr>
        <rFont val="Helvetica"/>
        <color rgb="FF231F20"/>
        <sz val="10.0"/>
      </rPr>
      <t>AC-16</t>
    </r>
  </si>
  <si>
    <r>
      <rPr>
        <rFont val="Helvetica"/>
        <color rgb="FF231F20"/>
        <sz val="10.0"/>
      </rPr>
      <t>Security Attributes</t>
    </r>
  </si>
  <si>
    <r>
      <rPr>
        <rFont val="Helvetica"/>
        <color rgb="FF231F20"/>
        <sz val="10.0"/>
      </rPr>
      <t>AC-17</t>
    </r>
  </si>
  <si>
    <r>
      <rPr>
        <rFont val="Helvetica"/>
        <color rgb="FF231F20"/>
        <sz val="10.0"/>
      </rPr>
      <t>Remote Access</t>
    </r>
  </si>
  <si>
    <r>
      <rPr>
        <rFont val="Helvetica"/>
        <color rgb="FF231F20"/>
        <sz val="10.0"/>
      </rPr>
      <t>AC-18</t>
    </r>
  </si>
  <si>
    <r>
      <rPr>
        <rFont val="Helvetica"/>
        <color rgb="FF231F20"/>
        <sz val="10.0"/>
      </rPr>
      <t>Wireless Access</t>
    </r>
  </si>
  <si>
    <r>
      <rPr>
        <rFont val="Helvetica"/>
        <color rgb="FF231F20"/>
        <sz val="10.0"/>
      </rPr>
      <t>AC-19</t>
    </r>
  </si>
  <si>
    <r>
      <rPr>
        <rFont val="Helvetica"/>
        <color rgb="FF231F20"/>
        <sz val="10.0"/>
      </rPr>
      <t>Access Control for Mobile Devices</t>
    </r>
  </si>
  <si>
    <t>Access Control: Full device / container based encryption</t>
  </si>
  <si>
    <r>
      <rPr>
        <rFont val="Helvetica"/>
        <color rgb="FF231F20"/>
        <sz val="10.0"/>
      </rPr>
      <t>AC-20</t>
    </r>
  </si>
  <si>
    <r>
      <rPr>
        <rFont val="Helvetica"/>
        <color rgb="FF231F20"/>
        <sz val="10.0"/>
      </rPr>
      <t>Use of External Information Systems</t>
    </r>
  </si>
  <si>
    <r>
      <rPr>
        <rFont val="Helvetica"/>
        <color rgb="FF231F20"/>
        <sz val="10.0"/>
      </rPr>
      <t>AC-21</t>
    </r>
  </si>
  <si>
    <r>
      <rPr>
        <rFont val="Helvetica"/>
        <color rgb="FF231F20"/>
        <sz val="10.0"/>
      </rPr>
      <t>Information Sharing</t>
    </r>
  </si>
  <si>
    <r>
      <rPr>
        <rFont val="Helvetica"/>
        <color rgb="FF231F20"/>
        <sz val="10.0"/>
      </rPr>
      <t>AC-22</t>
    </r>
  </si>
  <si>
    <r>
      <rPr>
        <rFont val="Helvetica"/>
        <color rgb="FF231F20"/>
        <sz val="10.0"/>
      </rPr>
      <t>Publicly Accessible Content</t>
    </r>
  </si>
  <si>
    <r>
      <rPr>
        <rFont val="Helvetica"/>
        <color rgb="FF231F20"/>
        <sz val="10.0"/>
      </rPr>
      <t>AC-23</t>
    </r>
  </si>
  <si>
    <r>
      <rPr>
        <rFont val="Helvetica"/>
        <color rgb="FF231F20"/>
        <sz val="10.0"/>
      </rPr>
      <t>Data Mining Protection</t>
    </r>
  </si>
  <si>
    <r>
      <rPr>
        <rFont val="Helvetica"/>
        <color rgb="FF231F20"/>
        <sz val="10.0"/>
      </rPr>
      <t>AC-24</t>
    </r>
  </si>
  <si>
    <r>
      <rPr>
        <rFont val="Helvetica"/>
        <color rgb="FF231F20"/>
        <sz val="10.0"/>
      </rPr>
      <t>Access Control Decisions</t>
    </r>
  </si>
  <si>
    <r>
      <rPr>
        <rFont val="Helvetica"/>
        <color rgb="FF231F20"/>
        <sz val="10.0"/>
      </rPr>
      <t>AC-25</t>
    </r>
  </si>
  <si>
    <r>
      <rPr>
        <rFont val="Helvetica"/>
        <color rgb="FF231F20"/>
        <sz val="10.0"/>
      </rPr>
      <t>Reference Monitor</t>
    </r>
  </si>
  <si>
    <r>
      <rPr>
        <rFont val="Helvetica"/>
        <color rgb="FF231F20"/>
        <sz val="10.0"/>
      </rPr>
      <t>AT-1</t>
    </r>
  </si>
  <si>
    <t>Security Awareness and Training Policy and Procedures</t>
  </si>
  <si>
    <r>
      <rPr>
        <rFont val="Helvetica"/>
        <color rgb="FF231F20"/>
        <sz val="10.0"/>
      </rPr>
      <t>AT-2</t>
    </r>
  </si>
  <si>
    <r>
      <rPr>
        <rFont val="Helvetica"/>
        <color rgb="FF231F20"/>
        <sz val="10.0"/>
      </rPr>
      <t>Security Awareness Training</t>
    </r>
  </si>
  <si>
    <r>
      <rPr>
        <rFont val="Helvetica"/>
        <color rgb="FF231F20"/>
        <sz val="10.0"/>
      </rPr>
      <t>AT-3</t>
    </r>
  </si>
  <si>
    <r>
      <rPr>
        <rFont val="Helvetica"/>
        <color rgb="FF231F20"/>
        <sz val="10.0"/>
      </rPr>
      <t>Role-Based Security Training</t>
    </r>
  </si>
  <si>
    <r>
      <rPr>
        <rFont val="Helvetica"/>
        <color rgb="FF231F20"/>
        <sz val="10.0"/>
      </rPr>
      <t>AT-4</t>
    </r>
  </si>
  <si>
    <r>
      <rPr>
        <rFont val="Helvetica"/>
        <color rgb="FF231F20"/>
        <sz val="10.0"/>
      </rPr>
      <t>Security Training Records</t>
    </r>
  </si>
  <si>
    <r>
      <rPr>
        <rFont val="Helvetica"/>
        <color rgb="FF231F20"/>
        <sz val="10.0"/>
      </rPr>
      <t>AT-5</t>
    </r>
  </si>
  <si>
    <r>
      <rPr>
        <rFont val="Helvetica"/>
        <b/>
        <color rgb="FF231F20"/>
        <sz val="10.0"/>
      </rPr>
      <t>Withdrawn</t>
    </r>
  </si>
  <si>
    <r>
      <rPr>
        <rFont val="Helvetica"/>
        <color rgb="FF231F20"/>
        <sz val="10.0"/>
      </rPr>
      <t>AU-1</t>
    </r>
  </si>
  <si>
    <t>Audit and Accountability Policy and Procedures</t>
  </si>
  <si>
    <r>
      <rPr>
        <rFont val="Helvetica"/>
        <color rgb="FF231F20"/>
        <sz val="10.0"/>
      </rPr>
      <t>AU-2</t>
    </r>
  </si>
  <si>
    <r>
      <rPr>
        <rFont val="Helvetica"/>
        <color rgb="FF231F20"/>
        <sz val="10.0"/>
      </rPr>
      <t>Audit Events</t>
    </r>
  </si>
  <si>
    <t>AU-2(3)</t>
  </si>
  <si>
    <t>Audit and Accountability: reviews and updates</t>
  </si>
  <si>
    <r>
      <rPr>
        <rFont val="Helvetica"/>
        <color rgb="FF231F20"/>
        <sz val="10.0"/>
      </rPr>
      <t>AU-3</t>
    </r>
  </si>
  <si>
    <r>
      <rPr>
        <rFont val="Helvetica"/>
        <color rgb="FF231F20"/>
        <sz val="10.0"/>
      </rPr>
      <t>Content of Audit Records</t>
    </r>
  </si>
  <si>
    <r>
      <rPr>
        <rFont val="Helvetica"/>
        <color rgb="FF231F20"/>
        <sz val="10.0"/>
      </rPr>
      <t>AU-4</t>
    </r>
  </si>
  <si>
    <r>
      <rPr>
        <rFont val="Helvetica"/>
        <color rgb="FF231F20"/>
        <sz val="10.0"/>
      </rPr>
      <t>Audit Storage Capacity</t>
    </r>
  </si>
  <si>
    <r>
      <rPr>
        <rFont val="Helvetica"/>
        <color rgb="FF231F20"/>
        <sz val="10.0"/>
      </rPr>
      <t>AU-5</t>
    </r>
  </si>
  <si>
    <r>
      <rPr>
        <rFont val="Helvetica"/>
        <color rgb="FF231F20"/>
        <sz val="10.0"/>
      </rPr>
      <t>Response to Audit Processing Failures</t>
    </r>
  </si>
  <si>
    <r>
      <rPr>
        <rFont val="Helvetica"/>
        <color rgb="FF231F20"/>
        <sz val="10.0"/>
      </rPr>
      <t>AU-6</t>
    </r>
  </si>
  <si>
    <r>
      <rPr>
        <rFont val="Helvetica"/>
        <color rgb="FF231F20"/>
        <sz val="10.0"/>
      </rPr>
      <t>Audit Review, Analysis, and Reporting</t>
    </r>
  </si>
  <si>
    <r>
      <rPr>
        <rFont val="Helvetica"/>
        <color rgb="FF231F20"/>
        <sz val="10.0"/>
      </rPr>
      <t>AU-7</t>
    </r>
  </si>
  <si>
    <r>
      <rPr>
        <rFont val="Helvetica"/>
        <color rgb="FF231F20"/>
        <sz val="10.0"/>
      </rPr>
      <t>Audit Reduction and Report Generation</t>
    </r>
  </si>
  <si>
    <r>
      <rPr>
        <rFont val="Helvetica"/>
        <color rgb="FF231F20"/>
        <sz val="10.0"/>
      </rPr>
      <t>AU-8</t>
    </r>
  </si>
  <si>
    <r>
      <rPr>
        <rFont val="Helvetica"/>
        <color rgb="FF231F20"/>
        <sz val="10.0"/>
      </rPr>
      <t>Time Stamps</t>
    </r>
  </si>
  <si>
    <r>
      <rPr>
        <rFont val="Helvetica"/>
        <color rgb="FF231F20"/>
        <sz val="10.0"/>
      </rPr>
      <t>AU-9</t>
    </r>
  </si>
  <si>
    <r>
      <rPr>
        <rFont val="Helvetica"/>
        <color rgb="FF231F20"/>
        <sz val="10.0"/>
      </rPr>
      <t>Protection of Audit Information</t>
    </r>
  </si>
  <si>
    <r>
      <rPr>
        <rFont val="Helvetica"/>
        <color rgb="FF231F20"/>
        <sz val="10.0"/>
      </rPr>
      <t>AU-10</t>
    </r>
  </si>
  <si>
    <r>
      <rPr>
        <rFont val="Helvetica"/>
        <color rgb="FF231F20"/>
        <sz val="10.0"/>
      </rPr>
      <t>Non-repudiation</t>
    </r>
  </si>
  <si>
    <r>
      <rPr>
        <rFont val="Helvetica"/>
        <color rgb="FF231F20"/>
        <sz val="10.0"/>
      </rPr>
      <t>AU-11</t>
    </r>
  </si>
  <si>
    <r>
      <rPr>
        <rFont val="Helvetica"/>
        <color rgb="FF231F20"/>
        <sz val="10.0"/>
      </rPr>
      <t>Audit Record Retention</t>
    </r>
  </si>
  <si>
    <r>
      <rPr>
        <rFont val="Helvetica"/>
        <color rgb="FF231F20"/>
        <sz val="10.0"/>
      </rPr>
      <t>AU-12</t>
    </r>
  </si>
  <si>
    <r>
      <rPr>
        <rFont val="Helvetica"/>
        <color rgb="FF231F20"/>
        <sz val="10.0"/>
      </rPr>
      <t>Audit Generation</t>
    </r>
  </si>
  <si>
    <r>
      <rPr>
        <rFont val="Helvetica"/>
        <color rgb="FF231F20"/>
        <sz val="10.0"/>
      </rPr>
      <t>AU-13</t>
    </r>
  </si>
  <si>
    <r>
      <rPr>
        <rFont val="Helvetica"/>
        <color rgb="FF231F20"/>
        <sz val="10.0"/>
      </rPr>
      <t>Monitoring for Information Disclosure</t>
    </r>
  </si>
  <si>
    <r>
      <rPr>
        <rFont val="Helvetica"/>
        <color rgb="FF231F20"/>
        <sz val="10.0"/>
      </rPr>
      <t>AU-14</t>
    </r>
  </si>
  <si>
    <r>
      <rPr>
        <rFont val="Helvetica"/>
        <color rgb="FF231F20"/>
        <sz val="10.0"/>
      </rPr>
      <t>Session Audit</t>
    </r>
  </si>
  <si>
    <r>
      <rPr>
        <rFont val="Helvetica"/>
        <color rgb="FF231F20"/>
        <sz val="10.0"/>
      </rPr>
      <t>AU-15</t>
    </r>
  </si>
  <si>
    <r>
      <rPr>
        <rFont val="Helvetica"/>
        <color rgb="FF231F20"/>
        <sz val="10.0"/>
      </rPr>
      <t>Alternate Audit Capability</t>
    </r>
  </si>
  <si>
    <r>
      <rPr>
        <rFont val="Helvetica"/>
        <color rgb="FF231F20"/>
        <sz val="10.0"/>
      </rPr>
      <t>AU-16</t>
    </r>
  </si>
  <si>
    <r>
      <rPr>
        <rFont val="Helvetica"/>
        <color rgb="FF231F20"/>
        <sz val="10.0"/>
      </rPr>
      <t>Cross-Organizational Auditing</t>
    </r>
  </si>
  <si>
    <r>
      <rPr>
        <rFont val="Helvetica"/>
        <color rgb="FF231F20"/>
        <sz val="10.0"/>
      </rPr>
      <t>CA-1</t>
    </r>
  </si>
  <si>
    <t>Security Assessment and Authorization Policies and Procedures</t>
  </si>
  <si>
    <r>
      <rPr>
        <rFont val="Helvetica"/>
        <color rgb="FF231F20"/>
        <sz val="10.0"/>
      </rPr>
      <t>CA-2</t>
    </r>
  </si>
  <si>
    <r>
      <rPr>
        <rFont val="Helvetica"/>
        <color rgb="FF231F20"/>
        <sz val="10.0"/>
      </rPr>
      <t>Security Assessments</t>
    </r>
  </si>
  <si>
    <r>
      <rPr>
        <rFont val="Helvetica"/>
        <color rgb="FF231F20"/>
        <sz val="10.0"/>
      </rPr>
      <t>CA-3</t>
    </r>
  </si>
  <si>
    <r>
      <rPr>
        <rFont val="Helvetica"/>
        <color rgb="FF231F20"/>
        <sz val="10.0"/>
      </rPr>
      <t>System Interconnections</t>
    </r>
  </si>
  <si>
    <r>
      <rPr>
        <rFont val="Helvetica"/>
        <color rgb="FF231F20"/>
        <sz val="10.0"/>
      </rPr>
      <t>CA-4</t>
    </r>
  </si>
  <si>
    <r>
      <rPr>
        <rFont val="Helvetica"/>
        <b/>
        <color rgb="FF231F20"/>
        <sz val="10.0"/>
      </rPr>
      <t>Withdrawn</t>
    </r>
  </si>
  <si>
    <r>
      <rPr>
        <rFont val="Helvetica"/>
        <color rgb="FF231F20"/>
        <sz val="10.0"/>
      </rPr>
      <t>CA-5</t>
    </r>
  </si>
  <si>
    <r>
      <rPr>
        <rFont val="Helvetica"/>
        <color rgb="FF231F20"/>
        <sz val="10.0"/>
      </rPr>
      <t>Plan of Action and Milestones</t>
    </r>
  </si>
  <si>
    <r>
      <rPr>
        <rFont val="Helvetica"/>
        <color rgb="FF231F20"/>
        <sz val="10.0"/>
      </rPr>
      <t>CA-6</t>
    </r>
  </si>
  <si>
    <r>
      <rPr>
        <rFont val="Helvetica"/>
        <color rgb="FF231F20"/>
        <sz val="10.0"/>
      </rPr>
      <t>Security Authorization</t>
    </r>
  </si>
  <si>
    <r>
      <rPr>
        <rFont val="Helvetica"/>
        <color rgb="FF231F20"/>
        <sz val="10.0"/>
      </rPr>
      <t>CA-7</t>
    </r>
  </si>
  <si>
    <r>
      <rPr>
        <rFont val="Helvetica"/>
        <color rgb="FF231F20"/>
        <sz val="10.0"/>
      </rPr>
      <t>Continuous Monitoring</t>
    </r>
  </si>
  <si>
    <r>
      <rPr>
        <rFont val="Helvetica"/>
        <color rgb="FF231F20"/>
        <sz val="10.0"/>
      </rPr>
      <t>CA-8</t>
    </r>
  </si>
  <si>
    <r>
      <rPr>
        <rFont val="Helvetica"/>
        <color rgb="FF231F20"/>
        <sz val="10.0"/>
      </rPr>
      <t>Penetration Testing</t>
    </r>
  </si>
  <si>
    <r>
      <rPr>
        <rFont val="Helvetica"/>
        <color rgb="FF231F20"/>
        <sz val="10.0"/>
      </rPr>
      <t>CA-9</t>
    </r>
  </si>
  <si>
    <r>
      <rPr>
        <rFont val="Helvetica"/>
        <color rgb="FF231F20"/>
        <sz val="10.0"/>
      </rPr>
      <t>Internal System Connections</t>
    </r>
  </si>
  <si>
    <r>
      <rPr>
        <rFont val="Helvetica"/>
        <color rgb="FF231F20"/>
        <sz val="10.0"/>
      </rPr>
      <t>CM-1</t>
    </r>
  </si>
  <si>
    <t>Configuration Management Policy and Procedures</t>
  </si>
  <si>
    <r>
      <rPr>
        <rFont val="Helvetica"/>
        <color rgb="FF231F20"/>
        <sz val="10.0"/>
      </rPr>
      <t>CM-2</t>
    </r>
  </si>
  <si>
    <r>
      <rPr>
        <rFont val="Helvetica"/>
        <color rgb="FF231F20"/>
        <sz val="10.0"/>
      </rPr>
      <t>Baseline Configuration</t>
    </r>
  </si>
  <si>
    <r>
      <rPr>
        <rFont val="Helvetica"/>
        <color rgb="FF231F20"/>
        <sz val="10.0"/>
      </rPr>
      <t>CM-3</t>
    </r>
  </si>
  <si>
    <r>
      <rPr>
        <rFont val="Helvetica"/>
        <color rgb="FF231F20"/>
        <sz val="10.0"/>
      </rPr>
      <t>Configuration Change Control</t>
    </r>
  </si>
  <si>
    <r>
      <rPr>
        <rFont val="Helvetica"/>
        <color rgb="FF231F20"/>
        <sz val="10.0"/>
      </rPr>
      <t>CM-4</t>
    </r>
  </si>
  <si>
    <r>
      <rPr>
        <rFont val="Helvetica"/>
        <color rgb="FF231F20"/>
        <sz val="10.0"/>
      </rPr>
      <t>Security Impact Analysis</t>
    </r>
  </si>
  <si>
    <r>
      <rPr>
        <rFont val="Helvetica"/>
        <color rgb="FF231F20"/>
        <sz val="10.0"/>
      </rPr>
      <t>CM-5</t>
    </r>
  </si>
  <si>
    <r>
      <rPr>
        <rFont val="Helvetica"/>
        <color rgb="FF231F20"/>
        <sz val="10.0"/>
      </rPr>
      <t>Access Restrictions for Change</t>
    </r>
  </si>
  <si>
    <r>
      <rPr>
        <rFont val="Helvetica"/>
        <color rgb="FF231F20"/>
        <sz val="10.0"/>
      </rPr>
      <t>CM-6</t>
    </r>
  </si>
  <si>
    <r>
      <rPr>
        <rFont val="Helvetica"/>
        <color rgb="FF231F20"/>
        <sz val="10.0"/>
      </rPr>
      <t>Configuration Settings</t>
    </r>
  </si>
  <si>
    <r>
      <rPr>
        <rFont val="Helvetica"/>
        <color rgb="FF231F20"/>
        <sz val="10.0"/>
      </rPr>
      <t>CM-7</t>
    </r>
  </si>
  <si>
    <r>
      <rPr>
        <rFont val="Helvetica"/>
        <color rgb="FF231F20"/>
        <sz val="10.0"/>
      </rPr>
      <t>Least Functionality</t>
    </r>
  </si>
  <si>
    <r>
      <rPr>
        <rFont val="Helvetica"/>
        <color rgb="FF231F20"/>
        <sz val="10.0"/>
      </rPr>
      <t>CM-8</t>
    </r>
  </si>
  <si>
    <r>
      <rPr>
        <rFont val="Helvetica"/>
        <color rgb="FF231F20"/>
        <sz val="10.0"/>
      </rPr>
      <t>Information System Component Inventory</t>
    </r>
  </si>
  <si>
    <r>
      <rPr>
        <rFont val="Helvetica"/>
        <color rgb="FF231F20"/>
        <sz val="10.0"/>
      </rPr>
      <t>CM-9</t>
    </r>
  </si>
  <si>
    <r>
      <rPr>
        <rFont val="Helvetica"/>
        <color rgb="FF231F20"/>
        <sz val="10.0"/>
      </rPr>
      <t>Configuration Management Plan</t>
    </r>
  </si>
  <si>
    <r>
      <rPr>
        <rFont val="Helvetica"/>
        <color rgb="FF231F20"/>
        <sz val="10.0"/>
      </rPr>
      <t>CM-10</t>
    </r>
  </si>
  <si>
    <r>
      <rPr>
        <rFont val="Helvetica"/>
        <color rgb="FF231F20"/>
        <sz val="10.0"/>
      </rPr>
      <t>Software Usage Restrictions</t>
    </r>
  </si>
  <si>
    <r>
      <rPr>
        <rFont val="Helvetica"/>
        <color rgb="FF231F20"/>
        <sz val="10.0"/>
      </rPr>
      <t>CM-11</t>
    </r>
  </si>
  <si>
    <r>
      <rPr>
        <rFont val="Helvetica"/>
        <color rgb="FF231F20"/>
        <sz val="10.0"/>
      </rPr>
      <t>User-Installed Software</t>
    </r>
  </si>
  <si>
    <r>
      <rPr>
        <rFont val="Helvetica"/>
        <color rgb="FF231F20"/>
        <sz val="10.0"/>
      </rPr>
      <t>CP-1</t>
    </r>
  </si>
  <si>
    <t>Contingency Planning Policy and Procedures</t>
  </si>
  <si>
    <r>
      <rPr>
        <rFont val="Helvetica"/>
        <color rgb="FF231F20"/>
        <sz val="10.0"/>
      </rPr>
      <t>CP-2</t>
    </r>
  </si>
  <si>
    <r>
      <rPr>
        <rFont val="Helvetica"/>
        <color rgb="FF231F20"/>
        <sz val="10.0"/>
      </rPr>
      <t>Contingency Plan</t>
    </r>
  </si>
  <si>
    <r>
      <rPr>
        <rFont val="Helvetica"/>
        <color rgb="FF231F20"/>
        <sz val="10.0"/>
      </rPr>
      <t>CP-3</t>
    </r>
  </si>
  <si>
    <r>
      <rPr>
        <rFont val="Helvetica"/>
        <color rgb="FF231F20"/>
        <sz val="10.0"/>
      </rPr>
      <t>Contingency Training</t>
    </r>
  </si>
  <si>
    <r>
      <rPr>
        <rFont val="Helvetica"/>
        <color rgb="FF231F20"/>
        <sz val="10.0"/>
      </rPr>
      <t>CP-4</t>
    </r>
  </si>
  <si>
    <r>
      <rPr>
        <rFont val="Helvetica"/>
        <color rgb="FF231F20"/>
        <sz val="10.0"/>
      </rPr>
      <t>Contingency Plan Testing</t>
    </r>
  </si>
  <si>
    <r>
      <rPr>
        <rFont val="Helvetica"/>
        <color rgb="FF231F20"/>
        <sz val="10.0"/>
      </rPr>
      <t>CP-5</t>
    </r>
  </si>
  <si>
    <r>
      <rPr>
        <rFont val="Helvetica"/>
        <b/>
        <color rgb="FF231F20"/>
        <sz val="10.0"/>
      </rPr>
      <t>Withdrawn</t>
    </r>
  </si>
  <si>
    <r>
      <rPr>
        <rFont val="Helvetica"/>
        <color rgb="FF231F20"/>
        <sz val="10.0"/>
      </rPr>
      <t>CP-6</t>
    </r>
  </si>
  <si>
    <r>
      <rPr>
        <rFont val="Helvetica"/>
        <color rgb="FF231F20"/>
        <sz val="10.0"/>
      </rPr>
      <t>Alternate Storage Site</t>
    </r>
  </si>
  <si>
    <r>
      <rPr>
        <rFont val="Helvetica"/>
        <color rgb="FF231F20"/>
        <sz val="10.0"/>
      </rPr>
      <t>CP-7</t>
    </r>
  </si>
  <si>
    <r>
      <rPr>
        <rFont val="Helvetica"/>
        <color rgb="FF231F20"/>
        <sz val="10.0"/>
      </rPr>
      <t>Alternate Processing Site</t>
    </r>
  </si>
  <si>
    <r>
      <rPr>
        <rFont val="Helvetica"/>
        <color rgb="FF231F20"/>
        <sz val="10.0"/>
      </rPr>
      <t>CP-8</t>
    </r>
  </si>
  <si>
    <r>
      <rPr>
        <rFont val="Helvetica"/>
        <color rgb="FF231F20"/>
        <sz val="10.0"/>
      </rPr>
      <t>Telecommunications Services</t>
    </r>
  </si>
  <si>
    <r>
      <rPr>
        <rFont val="Helvetica"/>
        <color rgb="FF231F20"/>
        <sz val="10.0"/>
      </rPr>
      <t>CP-9</t>
    </r>
  </si>
  <si>
    <r>
      <rPr>
        <rFont val="Helvetica"/>
        <color rgb="FF231F20"/>
        <sz val="10.0"/>
      </rPr>
      <t>Information System Backup</t>
    </r>
  </si>
  <si>
    <r>
      <rPr>
        <rFont val="Helvetica"/>
        <color rgb="FF231F20"/>
        <sz val="10.0"/>
      </rPr>
      <t>CP-10</t>
    </r>
  </si>
  <si>
    <t>Information System Recovery and Reconstitution</t>
  </si>
  <si>
    <r>
      <rPr>
        <rFont val="Helvetica"/>
        <color rgb="FF231F20"/>
        <sz val="10.0"/>
      </rPr>
      <t>CP-11</t>
    </r>
  </si>
  <si>
    <r>
      <rPr>
        <rFont val="Helvetica"/>
        <color rgb="FF231F20"/>
        <sz val="10.0"/>
      </rPr>
      <t>Alternate Communications Protocols</t>
    </r>
  </si>
  <si>
    <r>
      <rPr>
        <rFont val="Helvetica"/>
        <color rgb="FF231F20"/>
        <sz val="10.0"/>
      </rPr>
      <t>CP-12</t>
    </r>
  </si>
  <si>
    <r>
      <rPr>
        <rFont val="Helvetica"/>
        <color rgb="FF231F20"/>
        <sz val="10.0"/>
      </rPr>
      <t>Safe Mode</t>
    </r>
  </si>
  <si>
    <r>
      <rPr>
        <rFont val="Helvetica"/>
        <color rgb="FF231F20"/>
        <sz val="10.0"/>
      </rPr>
      <t>CP-13</t>
    </r>
  </si>
  <si>
    <r>
      <rPr>
        <rFont val="Helvetica"/>
        <color rgb="FF231F20"/>
        <sz val="10.0"/>
      </rPr>
      <t>Alternative Security Mechanisms</t>
    </r>
  </si>
  <si>
    <r>
      <rPr>
        <rFont val="Helvetica"/>
        <color rgb="FF231F20"/>
        <sz val="10.0"/>
      </rPr>
      <t>IA-1</t>
    </r>
  </si>
  <si>
    <t>Identification and Authentication Policy and Procedures</t>
  </si>
  <si>
    <r>
      <rPr>
        <rFont val="Helvetica"/>
        <color rgb="FF231F20"/>
        <sz val="10.0"/>
      </rPr>
      <t>IA-2</t>
    </r>
  </si>
  <si>
    <t>Identification and Authentication (Organizational Users)</t>
  </si>
  <si>
    <r>
      <rPr>
        <rFont val="Helvetica"/>
        <color rgb="FF231F20"/>
        <sz val="10.0"/>
      </rPr>
      <t>IA-3</t>
    </r>
  </si>
  <si>
    <r>
      <rPr>
        <rFont val="Helvetica"/>
        <color rgb="FF231F20"/>
        <sz val="10.0"/>
      </rPr>
      <t>Device Identification and Authentication</t>
    </r>
  </si>
  <si>
    <r>
      <rPr>
        <rFont val="Helvetica"/>
        <color rgb="FF231F20"/>
        <sz val="10.0"/>
      </rPr>
      <t>IA-4</t>
    </r>
  </si>
  <si>
    <r>
      <rPr>
        <rFont val="Helvetica"/>
        <color rgb="FF231F20"/>
        <sz val="10.0"/>
      </rPr>
      <t>Identifier Management</t>
    </r>
  </si>
  <si>
    <r>
      <rPr>
        <rFont val="Helvetica"/>
        <color rgb="FF231F20"/>
        <sz val="10.0"/>
      </rPr>
      <t>IA-5</t>
    </r>
  </si>
  <si>
    <r>
      <rPr>
        <rFont val="Helvetica"/>
        <color rgb="FF231F20"/>
        <sz val="10.0"/>
      </rPr>
      <t>Authenticator Management</t>
    </r>
  </si>
  <si>
    <t>Password -Based Authentication: Enforces minimum complexity</t>
  </si>
  <si>
    <r>
      <rPr>
        <rFont val="Helvetica"/>
        <color rgb="FF231F20"/>
        <sz val="10.0"/>
      </rPr>
      <t>IA-6</t>
    </r>
  </si>
  <si>
    <r>
      <rPr>
        <rFont val="Helvetica"/>
        <color rgb="FF231F20"/>
        <sz val="10.0"/>
      </rPr>
      <t>Authenticator Feedback</t>
    </r>
  </si>
  <si>
    <r>
      <rPr>
        <rFont val="Helvetica"/>
        <color rgb="FF231F20"/>
        <sz val="10.0"/>
      </rPr>
      <t>IA-7</t>
    </r>
  </si>
  <si>
    <r>
      <rPr>
        <rFont val="Helvetica"/>
        <color rgb="FF231F20"/>
        <sz val="10.0"/>
      </rPr>
      <t>Cryptographic Module Authentication</t>
    </r>
  </si>
  <si>
    <r>
      <rPr>
        <rFont val="Helvetica"/>
        <color rgb="FF231F20"/>
        <sz val="10.0"/>
      </rPr>
      <t>IA-8</t>
    </r>
  </si>
  <si>
    <r>
      <rPr>
        <rFont val="Helvetica"/>
        <color rgb="FF231F20"/>
        <sz val="10.0"/>
      </rPr>
      <t>Identification and Authentication (Non- Organizational Users)</t>
    </r>
  </si>
  <si>
    <r>
      <rPr>
        <rFont val="Helvetica"/>
        <color rgb="FF231F20"/>
        <sz val="10.0"/>
      </rPr>
      <t>IA-9</t>
    </r>
  </si>
  <si>
    <r>
      <rPr>
        <rFont val="Helvetica"/>
        <color rgb="FF231F20"/>
        <sz val="10.0"/>
      </rPr>
      <t>Service Identification and Authentication</t>
    </r>
  </si>
  <si>
    <r>
      <rPr>
        <rFont val="Helvetica"/>
        <color rgb="FF231F20"/>
        <sz val="10.0"/>
      </rPr>
      <t>IA-10</t>
    </r>
  </si>
  <si>
    <r>
      <rPr>
        <rFont val="Helvetica"/>
        <color rgb="FF231F20"/>
        <sz val="10.0"/>
      </rPr>
      <t>Adaptive Identification and Authentication</t>
    </r>
  </si>
  <si>
    <r>
      <rPr>
        <rFont val="Helvetica"/>
        <color rgb="FF231F20"/>
        <sz val="10.0"/>
      </rPr>
      <t>IA-11</t>
    </r>
  </si>
  <si>
    <r>
      <rPr>
        <rFont val="Helvetica"/>
        <color rgb="FF231F20"/>
        <sz val="10.0"/>
      </rPr>
      <t>Re-authentication</t>
    </r>
  </si>
  <si>
    <r>
      <rPr>
        <rFont val="Helvetica"/>
        <color rgb="FF231F20"/>
        <sz val="10.0"/>
      </rPr>
      <t>IR-1</t>
    </r>
  </si>
  <si>
    <r>
      <rPr>
        <rFont val="Helvetica"/>
        <color rgb="FF231F20"/>
        <sz val="10.0"/>
      </rPr>
      <t>Incident Response Policy and Procedures</t>
    </r>
  </si>
  <si>
    <r>
      <rPr>
        <rFont val="Helvetica"/>
        <color rgb="FF231F20"/>
        <sz val="10.0"/>
      </rPr>
      <t>IR-2</t>
    </r>
  </si>
  <si>
    <r>
      <rPr>
        <rFont val="Helvetica"/>
        <color rgb="FF231F20"/>
        <sz val="10.0"/>
      </rPr>
      <t>Incident Response Training</t>
    </r>
  </si>
  <si>
    <r>
      <rPr>
        <rFont val="Helvetica"/>
        <color rgb="FF231F20"/>
        <sz val="10.0"/>
      </rPr>
      <t>IR-3</t>
    </r>
  </si>
  <si>
    <r>
      <rPr>
        <rFont val="Helvetica"/>
        <color rgb="FF231F20"/>
        <sz val="10.0"/>
      </rPr>
      <t>Incident Response Testing</t>
    </r>
  </si>
  <si>
    <r>
      <rPr>
        <rFont val="Helvetica"/>
        <color rgb="FF231F20"/>
        <sz val="10.0"/>
      </rPr>
      <t>IR-4</t>
    </r>
  </si>
  <si>
    <r>
      <rPr>
        <rFont val="Helvetica"/>
        <color rgb="FF231F20"/>
        <sz val="10.0"/>
      </rPr>
      <t>Incident Handling</t>
    </r>
  </si>
  <si>
    <r>
      <rPr>
        <rFont val="Helvetica"/>
        <color rgb="FF231F20"/>
        <sz val="10.0"/>
      </rPr>
      <t>IR-5</t>
    </r>
  </si>
  <si>
    <r>
      <rPr>
        <rFont val="Helvetica"/>
        <color rgb="FF231F20"/>
        <sz val="10.0"/>
      </rPr>
      <t>Incident Monitoring</t>
    </r>
  </si>
  <si>
    <r>
      <rPr>
        <rFont val="Helvetica"/>
        <color rgb="FF231F20"/>
        <sz val="10.0"/>
      </rPr>
      <t>IR-6</t>
    </r>
  </si>
  <si>
    <r>
      <rPr>
        <rFont val="Helvetica"/>
        <color rgb="FF231F20"/>
        <sz val="10.0"/>
      </rPr>
      <t>Incident Reporting</t>
    </r>
  </si>
  <si>
    <r>
      <rPr>
        <rFont val="Helvetica"/>
        <color rgb="FF231F20"/>
        <sz val="10.0"/>
      </rPr>
      <t>IR-7</t>
    </r>
  </si>
  <si>
    <r>
      <rPr>
        <rFont val="Helvetica"/>
        <color rgb="FF231F20"/>
        <sz val="10.0"/>
      </rPr>
      <t>Incident Response Assistance</t>
    </r>
  </si>
  <si>
    <r>
      <rPr>
        <rFont val="Helvetica"/>
        <color rgb="FF231F20"/>
        <sz val="10.0"/>
      </rPr>
      <t>IR-8</t>
    </r>
  </si>
  <si>
    <r>
      <rPr>
        <rFont val="Helvetica"/>
        <color rgb="FF231F20"/>
        <sz val="10.0"/>
      </rPr>
      <t>Incident Response Plan</t>
    </r>
  </si>
  <si>
    <r>
      <rPr>
        <rFont val="Helvetica"/>
        <color rgb="FF231F20"/>
        <sz val="10.0"/>
      </rPr>
      <t>IR-9</t>
    </r>
  </si>
  <si>
    <r>
      <rPr>
        <rFont val="Helvetica"/>
        <color rgb="FF231F20"/>
        <sz val="10.0"/>
      </rPr>
      <t>Information Spillage Response</t>
    </r>
  </si>
  <si>
    <r>
      <rPr>
        <rFont val="Helvetica"/>
        <color rgb="FF231F20"/>
        <sz val="10.0"/>
      </rPr>
      <t>IR-10</t>
    </r>
  </si>
  <si>
    <t>Integrated Information Security Analysis Team</t>
  </si>
  <si>
    <r>
      <rPr>
        <rFont val="Helvetica"/>
        <color rgb="FF231F20"/>
        <sz val="10.0"/>
      </rPr>
      <t>MA-1</t>
    </r>
  </si>
  <si>
    <r>
      <rPr>
        <rFont val="Helvetica"/>
        <color rgb="FF231F20"/>
        <sz val="10.0"/>
      </rPr>
      <t>System Maintenance Policy and Procedures</t>
    </r>
  </si>
  <si>
    <r>
      <rPr>
        <rFont val="Helvetica"/>
        <color rgb="FF231F20"/>
        <sz val="10.0"/>
      </rPr>
      <t>MA-2</t>
    </r>
  </si>
  <si>
    <r>
      <rPr>
        <rFont val="Helvetica"/>
        <color rgb="FF231F20"/>
        <sz val="10.0"/>
      </rPr>
      <t>Controlled Maintenance</t>
    </r>
  </si>
  <si>
    <r>
      <rPr>
        <rFont val="Helvetica"/>
        <color rgb="FF231F20"/>
        <sz val="10.0"/>
      </rPr>
      <t>MA-3</t>
    </r>
  </si>
  <si>
    <r>
      <rPr>
        <rFont val="Helvetica"/>
        <color rgb="FF231F20"/>
        <sz val="10.0"/>
      </rPr>
      <t>Maintenance Tools</t>
    </r>
  </si>
  <si>
    <r>
      <rPr>
        <rFont val="Helvetica"/>
        <color rgb="FF231F20"/>
        <sz val="10.0"/>
      </rPr>
      <t>MA-4</t>
    </r>
  </si>
  <si>
    <r>
      <rPr>
        <rFont val="Helvetica"/>
        <color rgb="FF231F20"/>
        <sz val="10.0"/>
      </rPr>
      <t>Nonlocal Maintenance</t>
    </r>
  </si>
  <si>
    <r>
      <rPr>
        <rFont val="Helvetica"/>
        <color rgb="FF231F20"/>
        <sz val="10.0"/>
      </rPr>
      <t>MA-5</t>
    </r>
  </si>
  <si>
    <r>
      <rPr>
        <rFont val="Helvetica"/>
        <color rgb="FF231F20"/>
        <sz val="10.0"/>
      </rPr>
      <t>Maintenance Personnel</t>
    </r>
  </si>
  <si>
    <r>
      <rPr>
        <rFont val="Helvetica"/>
        <color rgb="FF231F20"/>
        <sz val="10.0"/>
      </rPr>
      <t>MA-6</t>
    </r>
  </si>
  <si>
    <r>
      <rPr>
        <rFont val="Helvetica"/>
        <color rgb="FF231F20"/>
        <sz val="10.0"/>
      </rPr>
      <t>Timely Maintenance</t>
    </r>
  </si>
  <si>
    <r>
      <rPr>
        <rFont val="Helvetica"/>
        <color rgb="FF231F20"/>
        <sz val="10.0"/>
      </rPr>
      <t>MP-1</t>
    </r>
  </si>
  <si>
    <r>
      <rPr>
        <rFont val="Helvetica"/>
        <color rgb="FF231F20"/>
        <sz val="10.0"/>
      </rPr>
      <t>Media Protection Policy and Procedures</t>
    </r>
  </si>
  <si>
    <r>
      <rPr>
        <rFont val="Helvetica"/>
        <color rgb="FF231F20"/>
        <sz val="10.0"/>
      </rPr>
      <t>MP-2</t>
    </r>
  </si>
  <si>
    <r>
      <rPr>
        <rFont val="Helvetica"/>
        <color rgb="FF231F20"/>
        <sz val="10.0"/>
      </rPr>
      <t>Media Access</t>
    </r>
  </si>
  <si>
    <r>
      <rPr>
        <rFont val="Helvetica"/>
        <color rgb="FF231F20"/>
        <sz val="10.0"/>
      </rPr>
      <t>MP-3</t>
    </r>
  </si>
  <si>
    <r>
      <rPr>
        <rFont val="Helvetica"/>
        <color rgb="FF231F20"/>
        <sz val="10.0"/>
      </rPr>
      <t>Media Marking</t>
    </r>
  </si>
  <si>
    <r>
      <rPr>
        <rFont val="Helvetica"/>
        <color rgb="FF231F20"/>
        <sz val="10.0"/>
      </rPr>
      <t>MP-4</t>
    </r>
  </si>
  <si>
    <r>
      <rPr>
        <rFont val="Helvetica"/>
        <color rgb="FF231F20"/>
        <sz val="10.0"/>
      </rPr>
      <t>Media Storage</t>
    </r>
  </si>
  <si>
    <r>
      <rPr>
        <rFont val="Helvetica"/>
        <color rgb="FF231F20"/>
        <sz val="10.0"/>
      </rPr>
      <t>MP-5</t>
    </r>
  </si>
  <si>
    <r>
      <rPr>
        <rFont val="Helvetica"/>
        <color rgb="FF231F20"/>
        <sz val="10.0"/>
      </rPr>
      <t>Media Transport</t>
    </r>
  </si>
  <si>
    <r>
      <rPr>
        <rFont val="Helvetica"/>
        <color rgb="FF231F20"/>
        <sz val="10.0"/>
      </rPr>
      <t>MP-6</t>
    </r>
  </si>
  <si>
    <r>
      <rPr>
        <rFont val="Helvetica"/>
        <color rgb="FF231F20"/>
        <sz val="10.0"/>
      </rPr>
      <t>Media Sanitization</t>
    </r>
  </si>
  <si>
    <r>
      <rPr>
        <rFont val="Helvetica"/>
        <color rgb="FF231F20"/>
        <sz val="10.0"/>
      </rPr>
      <t>MP-7</t>
    </r>
  </si>
  <si>
    <r>
      <rPr>
        <rFont val="Helvetica"/>
        <color rgb="FF231F20"/>
        <sz val="10.0"/>
      </rPr>
      <t>Media Use</t>
    </r>
  </si>
  <si>
    <r>
      <rPr>
        <rFont val="Helvetica"/>
        <color rgb="FF231F20"/>
        <sz val="10.0"/>
      </rPr>
      <t>MP-8</t>
    </r>
  </si>
  <si>
    <r>
      <rPr>
        <rFont val="Helvetica"/>
        <color rgb="FF231F20"/>
        <sz val="10.0"/>
      </rPr>
      <t>Media Downgrading</t>
    </r>
  </si>
  <si>
    <r>
      <rPr>
        <rFont val="Helvetica"/>
        <color rgb="FF231F20"/>
        <sz val="10.0"/>
      </rPr>
      <t>PE-1</t>
    </r>
  </si>
  <si>
    <t>Physical and Environmental Protection Policy and Procedures</t>
  </si>
  <si>
    <r>
      <rPr>
        <rFont val="Helvetica"/>
        <color rgb="FF231F20"/>
        <sz val="10.0"/>
      </rPr>
      <t>PE-2</t>
    </r>
  </si>
  <si>
    <r>
      <rPr>
        <rFont val="Helvetica"/>
        <color rgb="FF231F20"/>
        <sz val="10.0"/>
      </rPr>
      <t>Physical Access Authorizations</t>
    </r>
  </si>
  <si>
    <r>
      <rPr>
        <rFont val="Helvetica"/>
        <color rgb="FF231F20"/>
        <sz val="10.0"/>
      </rPr>
      <t>PE-3</t>
    </r>
  </si>
  <si>
    <r>
      <rPr>
        <rFont val="Helvetica"/>
        <color rgb="FF231F20"/>
        <sz val="10.0"/>
      </rPr>
      <t>Physical Access Control</t>
    </r>
  </si>
  <si>
    <r>
      <rPr>
        <rFont val="Helvetica"/>
        <color rgb="FF231F20"/>
        <sz val="10.0"/>
      </rPr>
      <t>PE-4</t>
    </r>
  </si>
  <si>
    <r>
      <rPr>
        <rFont val="Helvetica"/>
        <color rgb="FF231F20"/>
        <sz val="10.0"/>
      </rPr>
      <t>Access Control for Transmission Medium</t>
    </r>
  </si>
  <si>
    <r>
      <rPr>
        <rFont val="Helvetica"/>
        <color rgb="FF231F20"/>
        <sz val="10.0"/>
      </rPr>
      <t>PE-5</t>
    </r>
  </si>
  <si>
    <r>
      <rPr>
        <rFont val="Helvetica"/>
        <color rgb="FF231F20"/>
        <sz val="10.0"/>
      </rPr>
      <t>Access Control for Output Devices</t>
    </r>
  </si>
  <si>
    <r>
      <rPr>
        <rFont val="Helvetica"/>
        <color rgb="FF231F20"/>
        <sz val="10.0"/>
      </rPr>
      <t>PE-6</t>
    </r>
  </si>
  <si>
    <r>
      <rPr>
        <rFont val="Helvetica"/>
        <color rgb="FF231F20"/>
        <sz val="10.0"/>
      </rPr>
      <t>Monitoring Physical Access</t>
    </r>
  </si>
  <si>
    <r>
      <rPr>
        <rFont val="Helvetica"/>
        <color rgb="FF231F20"/>
        <sz val="10.0"/>
      </rPr>
      <t>PE-7</t>
    </r>
  </si>
  <si>
    <r>
      <rPr>
        <rFont val="Helvetica"/>
        <b/>
        <color rgb="FF231F20"/>
        <sz val="10.0"/>
      </rPr>
      <t>Withdrawn</t>
    </r>
  </si>
  <si>
    <r>
      <rPr>
        <rFont val="Helvetica"/>
        <color rgb="FF231F20"/>
        <sz val="10.0"/>
      </rPr>
      <t>PE-8</t>
    </r>
  </si>
  <si>
    <r>
      <rPr>
        <rFont val="Helvetica"/>
        <color rgb="FF231F20"/>
        <sz val="10.0"/>
      </rPr>
      <t>Visitor Access Records</t>
    </r>
  </si>
  <si>
    <r>
      <rPr>
        <rFont val="Helvetica"/>
        <color rgb="FF231F20"/>
        <sz val="10.0"/>
      </rPr>
      <t>PE-9</t>
    </r>
  </si>
  <si>
    <r>
      <rPr>
        <rFont val="Helvetica"/>
        <color rgb="FF231F20"/>
        <sz val="10.0"/>
      </rPr>
      <t>Power Equipment and Cabling</t>
    </r>
  </si>
  <si>
    <r>
      <rPr>
        <rFont val="Helvetica"/>
        <color rgb="FF231F20"/>
        <sz val="10.0"/>
      </rPr>
      <t>PE-10</t>
    </r>
  </si>
  <si>
    <r>
      <rPr>
        <rFont val="Helvetica"/>
        <color rgb="FF231F20"/>
        <sz val="10.0"/>
      </rPr>
      <t>Emergency Shutoff</t>
    </r>
  </si>
  <si>
    <r>
      <rPr>
        <rFont val="Helvetica"/>
        <color rgb="FF231F20"/>
        <sz val="10.0"/>
      </rPr>
      <t>PE-11</t>
    </r>
  </si>
  <si>
    <r>
      <rPr>
        <rFont val="Helvetica"/>
        <color rgb="FF231F20"/>
        <sz val="10.0"/>
      </rPr>
      <t>Emergency Power</t>
    </r>
  </si>
  <si>
    <r>
      <rPr>
        <rFont val="Helvetica"/>
        <color rgb="FF231F20"/>
        <sz val="10.0"/>
      </rPr>
      <t>PE-12</t>
    </r>
  </si>
  <si>
    <r>
      <rPr>
        <rFont val="Helvetica"/>
        <color rgb="FF231F20"/>
        <sz val="10.0"/>
      </rPr>
      <t>Emergency Lighting</t>
    </r>
  </si>
  <si>
    <r>
      <rPr>
        <rFont val="Helvetica"/>
        <color rgb="FF231F20"/>
        <sz val="10.0"/>
      </rPr>
      <t>PE-13</t>
    </r>
  </si>
  <si>
    <r>
      <rPr>
        <rFont val="Helvetica"/>
        <color rgb="FF231F20"/>
        <sz val="10.0"/>
      </rPr>
      <t>Fire Protection</t>
    </r>
  </si>
  <si>
    <r>
      <rPr>
        <rFont val="Helvetica"/>
        <color rgb="FF231F20"/>
        <sz val="10.0"/>
      </rPr>
      <t>PE-14</t>
    </r>
  </si>
  <si>
    <r>
      <rPr>
        <rFont val="Helvetica"/>
        <color rgb="FF231F20"/>
        <sz val="10.0"/>
      </rPr>
      <t>Temperature and Humidity Controls</t>
    </r>
  </si>
  <si>
    <r>
      <rPr>
        <rFont val="Helvetica"/>
        <color rgb="FF231F20"/>
        <sz val="10.0"/>
      </rPr>
      <t>PE-15</t>
    </r>
  </si>
  <si>
    <r>
      <rPr>
        <rFont val="Helvetica"/>
        <color rgb="FF231F20"/>
        <sz val="10.0"/>
      </rPr>
      <t>Water Damage Protection</t>
    </r>
  </si>
  <si>
    <r>
      <rPr>
        <rFont val="Helvetica"/>
        <color rgb="FF231F20"/>
        <sz val="10.0"/>
      </rPr>
      <t>PE-16</t>
    </r>
  </si>
  <si>
    <r>
      <rPr>
        <rFont val="Helvetica"/>
        <color rgb="FF231F20"/>
        <sz val="10.0"/>
      </rPr>
      <t>Delivery and Removal</t>
    </r>
  </si>
  <si>
    <r>
      <rPr>
        <rFont val="Helvetica"/>
        <color rgb="FF231F20"/>
        <sz val="10.0"/>
      </rPr>
      <t>PE-17</t>
    </r>
  </si>
  <si>
    <r>
      <rPr>
        <rFont val="Helvetica"/>
        <color rgb="FF231F20"/>
        <sz val="10.0"/>
      </rPr>
      <t>Alternate Work Site</t>
    </r>
  </si>
  <si>
    <r>
      <rPr>
        <rFont val="Helvetica"/>
        <color rgb="FF231F20"/>
        <sz val="10.0"/>
      </rPr>
      <t>PE-18</t>
    </r>
  </si>
  <si>
    <r>
      <rPr>
        <rFont val="Helvetica"/>
        <color rgb="FF231F20"/>
        <sz val="10.0"/>
      </rPr>
      <t>Location of Information System Components</t>
    </r>
  </si>
  <si>
    <r>
      <rPr>
        <rFont val="Helvetica"/>
        <color rgb="FF231F20"/>
        <sz val="10.0"/>
      </rPr>
      <t>PE-19</t>
    </r>
  </si>
  <si>
    <r>
      <rPr>
        <rFont val="Helvetica"/>
        <color rgb="FF231F20"/>
        <sz val="10.0"/>
      </rPr>
      <t>Information Leakage</t>
    </r>
  </si>
  <si>
    <r>
      <rPr>
        <rFont val="Helvetica"/>
        <color rgb="FF231F20"/>
        <sz val="10.0"/>
      </rPr>
      <t>PE-20</t>
    </r>
  </si>
  <si>
    <r>
      <rPr>
        <rFont val="Helvetica"/>
        <color rgb="FF231F20"/>
        <sz val="10.0"/>
      </rPr>
      <t>Asset Monitoring and Tracking</t>
    </r>
  </si>
  <si>
    <r>
      <rPr>
        <rFont val="Helvetica"/>
        <color rgb="FF231F20"/>
        <sz val="10.0"/>
      </rPr>
      <t>PL-1</t>
    </r>
  </si>
  <si>
    <r>
      <rPr>
        <rFont val="Helvetica"/>
        <color rgb="FF231F20"/>
        <sz val="10.0"/>
      </rPr>
      <t>Security Planning Policy and Procedures</t>
    </r>
  </si>
  <si>
    <r>
      <rPr>
        <rFont val="Helvetica"/>
        <color rgb="FF231F20"/>
        <sz val="10.0"/>
      </rPr>
      <t>PL-2</t>
    </r>
  </si>
  <si>
    <r>
      <rPr>
        <rFont val="Helvetica"/>
        <color rgb="FF231F20"/>
        <sz val="10.0"/>
      </rPr>
      <t>System Security Plan</t>
    </r>
  </si>
  <si>
    <r>
      <rPr>
        <rFont val="Helvetica"/>
        <color rgb="FF231F20"/>
        <sz val="10.0"/>
      </rPr>
      <t>PL-3</t>
    </r>
  </si>
  <si>
    <r>
      <rPr>
        <rFont val="Helvetica"/>
        <b/>
        <color rgb="FF231F20"/>
        <sz val="10.0"/>
      </rPr>
      <t>Withdrawn</t>
    </r>
  </si>
  <si>
    <r>
      <rPr>
        <rFont val="Helvetica"/>
        <color rgb="FF231F20"/>
        <sz val="10.0"/>
      </rPr>
      <t>PL-4</t>
    </r>
  </si>
  <si>
    <r>
      <rPr>
        <rFont val="Helvetica"/>
        <color rgb="FF231F20"/>
        <sz val="10.0"/>
      </rPr>
      <t>Rules of Behavior</t>
    </r>
  </si>
  <si>
    <r>
      <rPr>
        <rFont val="Helvetica"/>
        <color rgb="FF231F20"/>
        <sz val="10.0"/>
      </rPr>
      <t>PL-5</t>
    </r>
  </si>
  <si>
    <r>
      <rPr>
        <rFont val="Helvetica"/>
        <b/>
        <color rgb="FF231F20"/>
        <sz val="10.0"/>
      </rPr>
      <t>Withdrawn</t>
    </r>
  </si>
  <si>
    <r>
      <rPr>
        <rFont val="Helvetica"/>
        <color rgb="FF231F20"/>
        <sz val="10.0"/>
      </rPr>
      <t>PL-6</t>
    </r>
  </si>
  <si>
    <r>
      <rPr>
        <rFont val="Helvetica"/>
        <b/>
        <color rgb="FF231F20"/>
        <sz val="10.0"/>
      </rPr>
      <t>Withdrawn</t>
    </r>
  </si>
  <si>
    <r>
      <rPr>
        <rFont val="Helvetica"/>
        <color rgb="FF231F20"/>
        <sz val="10.0"/>
      </rPr>
      <t>PL-7</t>
    </r>
  </si>
  <si>
    <r>
      <rPr>
        <rFont val="Helvetica"/>
        <color rgb="FF231F20"/>
        <sz val="10.0"/>
      </rPr>
      <t>Security Concept of Operations</t>
    </r>
  </si>
  <si>
    <r>
      <rPr>
        <rFont val="Helvetica"/>
        <color rgb="FF231F20"/>
        <sz val="10.0"/>
      </rPr>
      <t>PL-8</t>
    </r>
  </si>
  <si>
    <r>
      <rPr>
        <rFont val="Helvetica"/>
        <color rgb="FF231F20"/>
        <sz val="10.0"/>
      </rPr>
      <t>Information Security Architecture</t>
    </r>
  </si>
  <si>
    <r>
      <rPr>
        <rFont val="Helvetica"/>
        <color rgb="FF231F20"/>
        <sz val="10.0"/>
      </rPr>
      <t>PL-9</t>
    </r>
  </si>
  <si>
    <r>
      <rPr>
        <rFont val="Helvetica"/>
        <color rgb="FF231F20"/>
        <sz val="10.0"/>
      </rPr>
      <t>Central Management</t>
    </r>
  </si>
  <si>
    <r>
      <rPr>
        <rFont val="Helvetica"/>
        <color rgb="FF231F20"/>
        <sz val="10.0"/>
      </rPr>
      <t>PS-1</t>
    </r>
  </si>
  <si>
    <r>
      <rPr>
        <rFont val="Helvetica"/>
        <color rgb="FF231F20"/>
        <sz val="10.0"/>
      </rPr>
      <t>Personnel Security Policy and Procedures</t>
    </r>
  </si>
  <si>
    <r>
      <rPr>
        <rFont val="Helvetica"/>
        <color rgb="FF231F20"/>
        <sz val="10.0"/>
      </rPr>
      <t>PS-2</t>
    </r>
  </si>
  <si>
    <r>
      <rPr>
        <rFont val="Helvetica"/>
        <color rgb="FF231F20"/>
        <sz val="10.0"/>
      </rPr>
      <t>Position Risk Designation</t>
    </r>
  </si>
  <si>
    <r>
      <rPr>
        <rFont val="Helvetica"/>
        <color rgb="FF231F20"/>
        <sz val="10.0"/>
      </rPr>
      <t>PS-3</t>
    </r>
  </si>
  <si>
    <r>
      <rPr>
        <rFont val="Helvetica"/>
        <color rgb="FF231F20"/>
        <sz val="10.0"/>
      </rPr>
      <t>Personnel Screening</t>
    </r>
  </si>
  <si>
    <r>
      <rPr>
        <rFont val="Helvetica"/>
        <color rgb="FF231F20"/>
        <sz val="10.0"/>
      </rPr>
      <t>PS-4</t>
    </r>
  </si>
  <si>
    <r>
      <rPr>
        <rFont val="Helvetica"/>
        <color rgb="FF231F20"/>
        <sz val="10.0"/>
      </rPr>
      <t>Personnel Termination</t>
    </r>
  </si>
  <si>
    <r>
      <rPr>
        <rFont val="Helvetica"/>
        <color rgb="FF231F20"/>
        <sz val="10.0"/>
      </rPr>
      <t>PS-5</t>
    </r>
  </si>
  <si>
    <r>
      <rPr>
        <rFont val="Helvetica"/>
        <color rgb="FF231F20"/>
        <sz val="10.0"/>
      </rPr>
      <t>Personnel Transfer</t>
    </r>
  </si>
  <si>
    <r>
      <rPr>
        <rFont val="Helvetica"/>
        <color rgb="FF231F20"/>
        <sz val="10.0"/>
      </rPr>
      <t>PS-6</t>
    </r>
  </si>
  <si>
    <r>
      <rPr>
        <rFont val="Helvetica"/>
        <color rgb="FF231F20"/>
        <sz val="10.0"/>
      </rPr>
      <t>Access Agreements</t>
    </r>
  </si>
  <si>
    <r>
      <rPr>
        <rFont val="Helvetica"/>
        <color rgb="FF231F20"/>
        <sz val="10.0"/>
      </rPr>
      <t>PS-7</t>
    </r>
  </si>
  <si>
    <r>
      <rPr>
        <rFont val="Helvetica"/>
        <color rgb="FF231F20"/>
        <sz val="10.0"/>
      </rPr>
      <t>Third-Party Personnel Security</t>
    </r>
  </si>
  <si>
    <r>
      <rPr>
        <rFont val="Helvetica"/>
        <color rgb="FF231F20"/>
        <sz val="10.0"/>
      </rPr>
      <t>PS-8</t>
    </r>
  </si>
  <si>
    <r>
      <rPr>
        <rFont val="Helvetica"/>
        <color rgb="FF231F20"/>
        <sz val="10.0"/>
      </rPr>
      <t>Personnel Sanctions</t>
    </r>
  </si>
  <si>
    <r>
      <rPr>
        <rFont val="Helvetica"/>
        <color rgb="FF231F20"/>
        <sz val="10.0"/>
      </rPr>
      <t>RA-1</t>
    </r>
  </si>
  <si>
    <r>
      <rPr>
        <rFont val="Helvetica"/>
        <color rgb="FF231F20"/>
        <sz val="10.0"/>
      </rPr>
      <t>Risk Assessment Policy and Procedures</t>
    </r>
  </si>
  <si>
    <r>
      <rPr>
        <rFont val="Helvetica"/>
        <color rgb="FF231F20"/>
        <sz val="10.0"/>
      </rPr>
      <t>RA-2</t>
    </r>
  </si>
  <si>
    <r>
      <rPr>
        <rFont val="Helvetica"/>
        <color rgb="FF231F20"/>
        <sz val="10.0"/>
      </rPr>
      <t>Security Categorization</t>
    </r>
  </si>
  <si>
    <r>
      <rPr>
        <rFont val="Helvetica"/>
        <color rgb="FF231F20"/>
        <sz val="10.0"/>
      </rPr>
      <t>RA-3</t>
    </r>
  </si>
  <si>
    <r>
      <rPr>
        <rFont val="Helvetica"/>
        <color rgb="FF231F20"/>
        <sz val="10.0"/>
      </rPr>
      <t>Risk Assessment</t>
    </r>
  </si>
  <si>
    <r>
      <rPr>
        <rFont val="Helvetica"/>
        <color rgb="FF231F20"/>
        <sz val="10.0"/>
      </rPr>
      <t>RA-4</t>
    </r>
  </si>
  <si>
    <r>
      <rPr>
        <rFont val="Helvetica"/>
        <b/>
        <color rgb="FF231F20"/>
        <sz val="10.0"/>
      </rPr>
      <t>Withdrawn</t>
    </r>
  </si>
  <si>
    <r>
      <rPr>
        <rFont val="Helvetica"/>
        <color rgb="FF231F20"/>
        <sz val="10.0"/>
      </rPr>
      <t>RA-5</t>
    </r>
  </si>
  <si>
    <r>
      <rPr>
        <rFont val="Helvetica"/>
        <color rgb="FF231F20"/>
        <sz val="10.0"/>
      </rPr>
      <t>Vulnerability Scanning</t>
    </r>
  </si>
  <si>
    <r>
      <rPr>
        <rFont val="Helvetica"/>
        <color rgb="FF231F20"/>
        <sz val="10.0"/>
      </rPr>
      <t>RA-6</t>
    </r>
  </si>
  <si>
    <t>Technical Surveillance Countermeasures Survey</t>
  </si>
  <si>
    <r>
      <rPr>
        <rFont val="Helvetica"/>
        <color rgb="FF231F20"/>
        <sz val="10.0"/>
      </rPr>
      <t>SA-1</t>
    </r>
  </si>
  <si>
    <t>System and Services Acquisition Policy and Procedures</t>
  </si>
  <si>
    <r>
      <rPr>
        <rFont val="Helvetica"/>
        <color rgb="FF231F20"/>
        <sz val="10.0"/>
      </rPr>
      <t>SA-2</t>
    </r>
  </si>
  <si>
    <r>
      <rPr>
        <rFont val="Helvetica"/>
        <color rgb="FF231F20"/>
        <sz val="10.0"/>
      </rPr>
      <t>Allocation of Resources</t>
    </r>
  </si>
  <si>
    <r>
      <rPr>
        <rFont val="Helvetica"/>
        <color rgb="FF231F20"/>
        <sz val="10.0"/>
      </rPr>
      <t>SA-3</t>
    </r>
  </si>
  <si>
    <r>
      <rPr>
        <rFont val="Helvetica"/>
        <color rgb="FF231F20"/>
        <sz val="10.0"/>
      </rPr>
      <t>System Development Life Cycle</t>
    </r>
  </si>
  <si>
    <r>
      <rPr>
        <rFont val="Helvetica"/>
        <color rgb="FF231F20"/>
        <sz val="10.0"/>
      </rPr>
      <t>SA-4</t>
    </r>
  </si>
  <si>
    <r>
      <rPr>
        <rFont val="Helvetica"/>
        <color rgb="FF231F20"/>
        <sz val="10.0"/>
      </rPr>
      <t>Acquisition Process</t>
    </r>
  </si>
  <si>
    <r>
      <rPr>
        <rFont val="Helvetica"/>
        <color rgb="FF231F20"/>
        <sz val="10.0"/>
      </rPr>
      <t>SA-5</t>
    </r>
  </si>
  <si>
    <r>
      <rPr>
        <rFont val="Helvetica"/>
        <color rgb="FF231F20"/>
        <sz val="10.0"/>
      </rPr>
      <t>Information System Documentation</t>
    </r>
  </si>
  <si>
    <r>
      <rPr>
        <rFont val="Helvetica"/>
        <color rgb="FF231F20"/>
        <sz val="10.0"/>
      </rPr>
      <t>SA-6</t>
    </r>
  </si>
  <si>
    <r>
      <rPr>
        <rFont val="Helvetica"/>
        <b/>
        <color rgb="FF231F20"/>
        <sz val="10.0"/>
      </rPr>
      <t>Withdrawn</t>
    </r>
  </si>
  <si>
    <r>
      <rPr>
        <rFont val="Helvetica"/>
        <color rgb="FF231F20"/>
        <sz val="10.0"/>
      </rPr>
      <t>SA-7</t>
    </r>
  </si>
  <si>
    <r>
      <rPr>
        <rFont val="Helvetica"/>
        <b/>
        <color rgb="FF231F20"/>
        <sz val="10.0"/>
      </rPr>
      <t>Withdrawn</t>
    </r>
  </si>
  <si>
    <r>
      <rPr>
        <rFont val="Helvetica"/>
        <color rgb="FF231F20"/>
        <sz val="10.0"/>
      </rPr>
      <t>SA-8</t>
    </r>
  </si>
  <si>
    <r>
      <rPr>
        <rFont val="Helvetica"/>
        <color rgb="FF231F20"/>
        <sz val="10.0"/>
      </rPr>
      <t>Security Engineering Principles</t>
    </r>
  </si>
  <si>
    <r>
      <rPr>
        <rFont val="Helvetica"/>
        <color rgb="FF231F20"/>
        <sz val="10.0"/>
      </rPr>
      <t>SA-9</t>
    </r>
  </si>
  <si>
    <r>
      <rPr>
        <rFont val="Helvetica"/>
        <color rgb="FF231F20"/>
        <sz val="10.0"/>
      </rPr>
      <t>External Information System Services</t>
    </r>
  </si>
  <si>
    <r>
      <rPr>
        <rFont val="Helvetica"/>
        <color rgb="FF231F20"/>
        <sz val="10.0"/>
      </rPr>
      <t>SA-10</t>
    </r>
  </si>
  <si>
    <r>
      <rPr>
        <rFont val="Helvetica"/>
        <color rgb="FF231F20"/>
        <sz val="10.0"/>
      </rPr>
      <t>Developer Configuration Management</t>
    </r>
  </si>
  <si>
    <r>
      <rPr>
        <rFont val="Helvetica"/>
        <color rgb="FF231F20"/>
        <sz val="10.0"/>
      </rPr>
      <t>SA-11</t>
    </r>
  </si>
  <si>
    <r>
      <rPr>
        <rFont val="Helvetica"/>
        <color rgb="FF231F20"/>
        <sz val="10.0"/>
      </rPr>
      <t>Developer Security Testing and Evaluation</t>
    </r>
  </si>
  <si>
    <r>
      <rPr>
        <rFont val="Helvetica"/>
        <color rgb="FF231F20"/>
        <sz val="10.0"/>
      </rPr>
      <t>SA-12</t>
    </r>
  </si>
  <si>
    <r>
      <rPr>
        <rFont val="Helvetica"/>
        <color rgb="FF231F20"/>
        <sz val="10.0"/>
      </rPr>
      <t>Supply Chain Protection</t>
    </r>
  </si>
  <si>
    <r>
      <rPr>
        <rFont val="Helvetica"/>
        <color rgb="FF231F20"/>
        <sz val="10.0"/>
      </rPr>
      <t>SA-13</t>
    </r>
  </si>
  <si>
    <r>
      <rPr>
        <rFont val="Helvetica"/>
        <color rgb="FF231F20"/>
        <sz val="10.0"/>
      </rPr>
      <t>Trustworthiness</t>
    </r>
  </si>
  <si>
    <r>
      <rPr>
        <rFont val="Helvetica"/>
        <color rgb="FF231F20"/>
        <sz val="10.0"/>
      </rPr>
      <t>SA-14</t>
    </r>
  </si>
  <si>
    <r>
      <rPr>
        <rFont val="Helvetica"/>
        <color rgb="FF231F20"/>
        <sz val="10.0"/>
      </rPr>
      <t>Criticality Analysis</t>
    </r>
  </si>
  <si>
    <r>
      <rPr>
        <rFont val="Helvetica"/>
        <color rgb="FF231F20"/>
        <sz val="10.0"/>
      </rPr>
      <t>SA-15</t>
    </r>
  </si>
  <si>
    <t>Development Process, Standards, and Tools</t>
  </si>
  <si>
    <r>
      <rPr>
        <rFont val="Helvetica"/>
        <color rgb="FF231F20"/>
        <sz val="10.0"/>
      </rPr>
      <t>SA-16</t>
    </r>
  </si>
  <si>
    <r>
      <rPr>
        <rFont val="Helvetica"/>
        <color rgb="FF231F20"/>
        <sz val="10.0"/>
      </rPr>
      <t>Developer-Provided Training</t>
    </r>
  </si>
  <si>
    <r>
      <rPr>
        <rFont val="Helvetica"/>
        <color rgb="FF231F20"/>
        <sz val="10.0"/>
      </rPr>
      <t>SA-17</t>
    </r>
  </si>
  <si>
    <r>
      <rPr>
        <rFont val="Helvetica"/>
        <color rgb="FF231F20"/>
        <sz val="10.0"/>
      </rPr>
      <t>Developer Security Architecture and Design</t>
    </r>
  </si>
  <si>
    <r>
      <rPr>
        <rFont val="Helvetica"/>
        <color rgb="FF231F20"/>
        <sz val="10.0"/>
      </rPr>
      <t>SA-18</t>
    </r>
  </si>
  <si>
    <r>
      <rPr>
        <rFont val="Helvetica"/>
        <color rgb="FF231F20"/>
        <sz val="10.0"/>
      </rPr>
      <t>Tamper Resistance and Detection</t>
    </r>
  </si>
  <si>
    <r>
      <rPr>
        <rFont val="Helvetica"/>
        <color rgb="FF231F20"/>
        <sz val="10.0"/>
      </rPr>
      <t>SA-19</t>
    </r>
  </si>
  <si>
    <r>
      <rPr>
        <rFont val="Helvetica"/>
        <color rgb="FF231F20"/>
        <sz val="10.0"/>
      </rPr>
      <t>Component Authenticity</t>
    </r>
  </si>
  <si>
    <r>
      <rPr>
        <rFont val="Helvetica"/>
        <color rgb="FF231F20"/>
        <sz val="10.0"/>
      </rPr>
      <t>SA-20</t>
    </r>
  </si>
  <si>
    <t>Customized Development of Critical Components</t>
  </si>
  <si>
    <r>
      <rPr>
        <rFont val="Helvetica"/>
        <color rgb="FF231F20"/>
        <sz val="10.0"/>
      </rPr>
      <t>SA-21</t>
    </r>
  </si>
  <si>
    <r>
      <rPr>
        <rFont val="Helvetica"/>
        <color rgb="FF231F20"/>
        <sz val="10.0"/>
      </rPr>
      <t>Developer Screening</t>
    </r>
  </si>
  <si>
    <r>
      <rPr>
        <rFont val="Helvetica"/>
        <color rgb="FF231F20"/>
        <sz val="10.0"/>
      </rPr>
      <t>SA-22</t>
    </r>
  </si>
  <si>
    <r>
      <rPr>
        <rFont val="Helvetica"/>
        <color rgb="FF231F20"/>
        <sz val="10.0"/>
      </rPr>
      <t>Unsupported System Components</t>
    </r>
  </si>
  <si>
    <r>
      <rPr>
        <rFont val="Helvetica"/>
        <color rgb="FF231F20"/>
        <sz val="10.0"/>
      </rPr>
      <t>SC-1</t>
    </r>
  </si>
  <si>
    <t>System and Communications Protection Policy and Procedures</t>
  </si>
  <si>
    <r>
      <rPr>
        <rFont val="Helvetica"/>
        <color rgb="FF231F20"/>
        <sz val="10.0"/>
      </rPr>
      <t>SC-2</t>
    </r>
  </si>
  <si>
    <r>
      <rPr>
        <rFont val="Helvetica"/>
        <color rgb="FF231F20"/>
        <sz val="10.0"/>
      </rPr>
      <t>Application Partitioning</t>
    </r>
  </si>
  <si>
    <r>
      <rPr>
        <rFont val="Helvetica"/>
        <color rgb="FF231F20"/>
        <sz val="10.0"/>
      </rPr>
      <t>SC-3</t>
    </r>
  </si>
  <si>
    <r>
      <rPr>
        <rFont val="Helvetica"/>
        <color rgb="FF231F20"/>
        <sz val="10.0"/>
      </rPr>
      <t>Security Function Isolation</t>
    </r>
  </si>
  <si>
    <r>
      <rPr>
        <rFont val="Helvetica"/>
        <color rgb="FF231F20"/>
        <sz val="10.0"/>
      </rPr>
      <t>SC-4</t>
    </r>
  </si>
  <si>
    <r>
      <rPr>
        <rFont val="Helvetica"/>
        <color rgb="FF231F20"/>
        <sz val="10.0"/>
      </rPr>
      <t>Information in Shared Resources</t>
    </r>
  </si>
  <si>
    <r>
      <rPr>
        <rFont val="Helvetica"/>
        <color rgb="FF231F20"/>
        <sz val="10.0"/>
      </rPr>
      <t>SC-5</t>
    </r>
  </si>
  <si>
    <r>
      <rPr>
        <rFont val="Helvetica"/>
        <color rgb="FF231F20"/>
        <sz val="10.0"/>
      </rPr>
      <t>Denial of Service Protection</t>
    </r>
  </si>
  <si>
    <r>
      <rPr>
        <rFont val="Helvetica"/>
        <color rgb="FF231F20"/>
        <sz val="10.0"/>
      </rPr>
      <t>SC-6</t>
    </r>
  </si>
  <si>
    <r>
      <rPr>
        <rFont val="Helvetica"/>
        <color rgb="FF231F20"/>
        <sz val="10.0"/>
      </rPr>
      <t>Resource Availability</t>
    </r>
  </si>
  <si>
    <r>
      <rPr>
        <rFont val="Helvetica"/>
        <color rgb="FF231F20"/>
        <sz val="10.0"/>
      </rPr>
      <t>SC-7</t>
    </r>
  </si>
  <si>
    <r>
      <rPr>
        <rFont val="Helvetica"/>
        <color rgb="FF231F20"/>
        <sz val="10.0"/>
      </rPr>
      <t>Boundary Protection</t>
    </r>
  </si>
  <si>
    <r>
      <rPr>
        <rFont val="Helvetica"/>
        <color rgb="FF231F20"/>
        <sz val="10.0"/>
      </rPr>
      <t>SC-8</t>
    </r>
  </si>
  <si>
    <r>
      <rPr>
        <rFont val="Helvetica"/>
        <color rgb="FF231F20"/>
        <sz val="10.0"/>
      </rPr>
      <t>Transmission Confidentiality and Integrity</t>
    </r>
  </si>
  <si>
    <r>
      <rPr>
        <rFont val="Helvetica"/>
        <color rgb="FF231F20"/>
        <sz val="10.0"/>
      </rPr>
      <t>SC-9</t>
    </r>
  </si>
  <si>
    <r>
      <rPr>
        <rFont val="Helvetica"/>
        <b/>
        <color rgb="FF231F20"/>
        <sz val="10.0"/>
      </rPr>
      <t>Withdrawn</t>
    </r>
  </si>
  <si>
    <r>
      <rPr>
        <rFont val="Helvetica"/>
        <color rgb="FF231F20"/>
        <sz val="10.0"/>
      </rPr>
      <t>SC-10</t>
    </r>
  </si>
  <si>
    <r>
      <rPr>
        <rFont val="Helvetica"/>
        <color rgb="FF231F20"/>
        <sz val="10.0"/>
      </rPr>
      <t>Network Disconnect</t>
    </r>
  </si>
  <si>
    <r>
      <rPr>
        <rFont val="Helvetica"/>
        <color rgb="FF231F20"/>
        <sz val="10.0"/>
      </rPr>
      <t>SC-11</t>
    </r>
  </si>
  <si>
    <r>
      <rPr>
        <rFont val="Helvetica"/>
        <color rgb="FF231F20"/>
        <sz val="10.0"/>
      </rPr>
      <t>Trusted Path</t>
    </r>
  </si>
  <si>
    <r>
      <rPr>
        <rFont val="Helvetica"/>
        <color rgb="FF231F20"/>
        <sz val="10.0"/>
      </rPr>
      <t>SC-12</t>
    </r>
  </si>
  <si>
    <t>Cryptographic Key Establishment and Management</t>
  </si>
  <si>
    <r>
      <rPr>
        <rFont val="Helvetica"/>
        <color rgb="FF231F20"/>
        <sz val="10.0"/>
      </rPr>
      <t>SC-13</t>
    </r>
  </si>
  <si>
    <r>
      <rPr>
        <rFont val="Helvetica"/>
        <color rgb="FF231F20"/>
        <sz val="10.0"/>
      </rPr>
      <t>Cryptographic Protection</t>
    </r>
  </si>
  <si>
    <r>
      <rPr>
        <rFont val="Helvetica"/>
        <color rgb="FF231F20"/>
        <sz val="10.0"/>
      </rPr>
      <t>SC-14</t>
    </r>
  </si>
  <si>
    <r>
      <rPr>
        <rFont val="Helvetica"/>
        <b/>
        <color rgb="FF231F20"/>
        <sz val="10.0"/>
      </rPr>
      <t>Withdrawn</t>
    </r>
  </si>
  <si>
    <r>
      <rPr>
        <rFont val="Helvetica"/>
        <color rgb="FF231F20"/>
        <sz val="10.0"/>
      </rPr>
      <t>SC-15</t>
    </r>
  </si>
  <si>
    <r>
      <rPr>
        <rFont val="Helvetica"/>
        <color rgb="FF231F20"/>
        <sz val="10.0"/>
      </rPr>
      <t>Collaborative Computing Devices</t>
    </r>
  </si>
  <si>
    <r>
      <rPr>
        <rFont val="Helvetica"/>
        <color rgb="FF231F20"/>
        <sz val="10.0"/>
      </rPr>
      <t>SC-16</t>
    </r>
  </si>
  <si>
    <r>
      <rPr>
        <rFont val="Helvetica"/>
        <color rgb="FF231F20"/>
        <sz val="10.0"/>
      </rPr>
      <t>Transmission of Security Attributes</t>
    </r>
  </si>
  <si>
    <r>
      <rPr>
        <rFont val="Helvetica"/>
        <color rgb="FF231F20"/>
        <sz val="10.0"/>
      </rPr>
      <t>SC-17</t>
    </r>
  </si>
  <si>
    <r>
      <rPr>
        <rFont val="Helvetica"/>
        <color rgb="FF231F20"/>
        <sz val="10.0"/>
      </rPr>
      <t>Public Key Infrastructure Certificates</t>
    </r>
  </si>
  <si>
    <r>
      <rPr>
        <rFont val="Helvetica"/>
        <color rgb="FF231F20"/>
        <sz val="10.0"/>
      </rPr>
      <t>SC-18</t>
    </r>
  </si>
  <si>
    <r>
      <rPr>
        <rFont val="Helvetica"/>
        <color rgb="FF231F20"/>
        <sz val="10.0"/>
      </rPr>
      <t>Mobile Code</t>
    </r>
  </si>
  <si>
    <r>
      <rPr>
        <rFont val="Helvetica"/>
        <color rgb="FF231F20"/>
        <sz val="10.0"/>
      </rPr>
      <t>SC-19</t>
    </r>
  </si>
  <si>
    <r>
      <rPr>
        <rFont val="Helvetica"/>
        <color rgb="FF231F20"/>
        <sz val="10.0"/>
      </rPr>
      <t>Voice Over Internet Protocol</t>
    </r>
  </si>
  <si>
    <r>
      <rPr>
        <rFont val="Helvetica"/>
        <color rgb="FF231F20"/>
        <sz val="10.0"/>
      </rPr>
      <t>SC-20</t>
    </r>
  </si>
  <si>
    <t>Secure Name /Address Resolution Service (Authoritative Source)</t>
  </si>
  <si>
    <r>
      <rPr>
        <rFont val="Helvetica"/>
        <color rgb="FF231F20"/>
        <sz val="10.0"/>
      </rPr>
      <t>SC-21</t>
    </r>
  </si>
  <si>
    <t>Secure Name /Address Resolution Service (Recursive or Caching Resolver)</t>
  </si>
  <si>
    <r>
      <rPr>
        <rFont val="Helvetica"/>
        <color rgb="FF231F20"/>
        <sz val="10.0"/>
      </rPr>
      <t>SC-22</t>
    </r>
  </si>
  <si>
    <t>Architecture and Provisioning for Name/Address Resolution Service</t>
  </si>
  <si>
    <r>
      <rPr>
        <rFont val="Helvetica"/>
        <color rgb="FF231F20"/>
        <sz val="10.0"/>
      </rPr>
      <t>SC-23</t>
    </r>
  </si>
  <si>
    <r>
      <rPr>
        <rFont val="Helvetica"/>
        <color rgb="FF231F20"/>
        <sz val="10.0"/>
      </rPr>
      <t>Session Authenticity</t>
    </r>
  </si>
  <si>
    <r>
      <rPr>
        <rFont val="Helvetica"/>
        <color rgb="FF231F20"/>
        <sz val="10.0"/>
      </rPr>
      <t>SC-24</t>
    </r>
  </si>
  <si>
    <r>
      <rPr>
        <rFont val="Helvetica"/>
        <color rgb="FF231F20"/>
        <sz val="10.0"/>
      </rPr>
      <t>Fail in Known State</t>
    </r>
  </si>
  <si>
    <r>
      <rPr>
        <rFont val="Helvetica"/>
        <color rgb="FF231F20"/>
        <sz val="10.0"/>
      </rPr>
      <t>SC-25</t>
    </r>
  </si>
  <si>
    <r>
      <rPr>
        <rFont val="Helvetica"/>
        <color rgb="FF231F20"/>
        <sz val="10.0"/>
      </rPr>
      <t>Thin Nodes</t>
    </r>
  </si>
  <si>
    <r>
      <rPr>
        <rFont val="Helvetica"/>
        <color rgb="FF231F20"/>
        <sz val="10.0"/>
      </rPr>
      <t>SC-26</t>
    </r>
  </si>
  <si>
    <r>
      <rPr>
        <rFont val="Helvetica"/>
        <color rgb="FF231F20"/>
        <sz val="10.0"/>
      </rPr>
      <t>Honeypots</t>
    </r>
  </si>
  <si>
    <r>
      <rPr>
        <rFont val="Helvetica"/>
        <color rgb="FF231F20"/>
        <sz val="10.0"/>
      </rPr>
      <t>SC-27</t>
    </r>
  </si>
  <si>
    <r>
      <rPr>
        <rFont val="Helvetica"/>
        <color rgb="FF231F20"/>
        <sz val="10.0"/>
      </rPr>
      <t>Platform-Independent Applications</t>
    </r>
  </si>
  <si>
    <r>
      <rPr>
        <rFont val="Helvetica"/>
        <color rgb="FF231F20"/>
        <sz val="10.0"/>
      </rPr>
      <t>SC-28</t>
    </r>
  </si>
  <si>
    <r>
      <rPr>
        <rFont val="Helvetica"/>
        <color rgb="FF231F20"/>
        <sz val="10.0"/>
      </rPr>
      <t>Protection of Information at Rest</t>
    </r>
  </si>
  <si>
    <r>
      <rPr>
        <rFont val="Helvetica"/>
        <color rgb="FF231F20"/>
        <sz val="10.0"/>
      </rPr>
      <t>SC-29</t>
    </r>
  </si>
  <si>
    <r>
      <rPr>
        <rFont val="Helvetica"/>
        <color rgb="FF231F20"/>
        <sz val="10.0"/>
      </rPr>
      <t>Heterogeneity</t>
    </r>
  </si>
  <si>
    <r>
      <rPr>
        <rFont val="Helvetica"/>
        <color rgb="FF231F20"/>
        <sz val="10.0"/>
      </rPr>
      <t>SC-30</t>
    </r>
  </si>
  <si>
    <r>
      <rPr>
        <rFont val="Helvetica"/>
        <color rgb="FF231F20"/>
        <sz val="10.0"/>
      </rPr>
      <t>Concealment and Misdirection</t>
    </r>
  </si>
  <si>
    <r>
      <rPr>
        <rFont val="Helvetica"/>
        <color rgb="FF231F20"/>
        <sz val="10.0"/>
      </rPr>
      <t>SC-31</t>
    </r>
  </si>
  <si>
    <r>
      <rPr>
        <rFont val="Helvetica"/>
        <color rgb="FF231F20"/>
        <sz val="10.0"/>
      </rPr>
      <t>Covert Channel Analysis</t>
    </r>
  </si>
  <si>
    <r>
      <rPr>
        <rFont val="Helvetica"/>
        <color rgb="FF231F20"/>
        <sz val="10.0"/>
      </rPr>
      <t>SC-32</t>
    </r>
  </si>
  <si>
    <r>
      <rPr>
        <rFont val="Helvetica"/>
        <color rgb="FF231F20"/>
        <sz val="10.0"/>
      </rPr>
      <t>Information System Partitioning</t>
    </r>
  </si>
  <si>
    <r>
      <rPr>
        <rFont val="Helvetica"/>
        <color rgb="FF231F20"/>
        <sz val="10.0"/>
      </rPr>
      <t>SC-33</t>
    </r>
  </si>
  <si>
    <r>
      <rPr>
        <rFont val="Helvetica"/>
        <b/>
        <color rgb="FF231F20"/>
        <sz val="10.0"/>
      </rPr>
      <t>Withdrawn</t>
    </r>
  </si>
  <si>
    <r>
      <rPr>
        <rFont val="Helvetica"/>
        <color rgb="FF231F20"/>
        <sz val="10.0"/>
      </rPr>
      <t>SC-34</t>
    </r>
  </si>
  <si>
    <r>
      <rPr>
        <rFont val="Helvetica"/>
        <color rgb="FF231F20"/>
        <sz val="10.0"/>
      </rPr>
      <t>Non-Modifiable Executable Programs</t>
    </r>
  </si>
  <si>
    <r>
      <rPr>
        <rFont val="Helvetica"/>
        <color rgb="FF231F20"/>
        <sz val="10.0"/>
      </rPr>
      <t>SC-35</t>
    </r>
  </si>
  <si>
    <r>
      <rPr>
        <rFont val="Helvetica"/>
        <color rgb="FF231F20"/>
        <sz val="10.0"/>
      </rPr>
      <t>Honeyclients</t>
    </r>
  </si>
  <si>
    <r>
      <rPr>
        <rFont val="Helvetica"/>
        <color rgb="FF231F20"/>
        <sz val="10.0"/>
      </rPr>
      <t>SC-36</t>
    </r>
  </si>
  <si>
    <r>
      <rPr>
        <rFont val="Helvetica"/>
        <color rgb="FF231F20"/>
        <sz val="10.0"/>
      </rPr>
      <t>Distributed Processing and Storage</t>
    </r>
  </si>
  <si>
    <r>
      <rPr>
        <rFont val="Helvetica"/>
        <color rgb="FF231F20"/>
        <sz val="10.0"/>
      </rPr>
      <t>SC-37</t>
    </r>
  </si>
  <si>
    <r>
      <rPr>
        <rFont val="Helvetica"/>
        <color rgb="FF231F20"/>
        <sz val="10.0"/>
      </rPr>
      <t>Out-of-Band Channels</t>
    </r>
  </si>
  <si>
    <r>
      <rPr>
        <rFont val="Helvetica"/>
        <color rgb="FF231F20"/>
        <sz val="10.0"/>
      </rPr>
      <t>SC-38</t>
    </r>
  </si>
  <si>
    <r>
      <rPr>
        <rFont val="Helvetica"/>
        <color rgb="FF231F20"/>
        <sz val="10.0"/>
      </rPr>
      <t>Operations Security</t>
    </r>
  </si>
  <si>
    <r>
      <rPr>
        <rFont val="Helvetica"/>
        <color rgb="FF231F20"/>
        <sz val="10.0"/>
      </rPr>
      <t>SC-39</t>
    </r>
  </si>
  <si>
    <r>
      <rPr>
        <rFont val="Helvetica"/>
        <color rgb="FF231F20"/>
        <sz val="10.0"/>
      </rPr>
      <t>Process Isolation</t>
    </r>
  </si>
  <si>
    <r>
      <rPr>
        <rFont val="Helvetica"/>
        <color rgb="FF231F20"/>
        <sz val="10.0"/>
      </rPr>
      <t>SC-40</t>
    </r>
  </si>
  <si>
    <r>
      <rPr>
        <rFont val="Helvetica"/>
        <color rgb="FF231F20"/>
        <sz val="10.0"/>
      </rPr>
      <t>Wireless Link Protection</t>
    </r>
  </si>
  <si>
    <r>
      <rPr>
        <rFont val="Helvetica"/>
        <color rgb="FF231F20"/>
        <sz val="10.0"/>
      </rPr>
      <t>SC-41</t>
    </r>
  </si>
  <si>
    <r>
      <rPr>
        <rFont val="Helvetica"/>
        <color rgb="FF231F20"/>
        <sz val="10.0"/>
      </rPr>
      <t>Port and I/O Device Access</t>
    </r>
  </si>
  <si>
    <r>
      <rPr>
        <rFont val="Helvetica"/>
        <color rgb="FF231F20"/>
        <sz val="10.0"/>
      </rPr>
      <t>SC-42</t>
    </r>
  </si>
  <si>
    <r>
      <rPr>
        <rFont val="Helvetica"/>
        <color rgb="FF231F20"/>
        <sz val="10.0"/>
      </rPr>
      <t>Sensor Capability and Data</t>
    </r>
  </si>
  <si>
    <r>
      <rPr>
        <rFont val="Helvetica"/>
        <color rgb="FF231F20"/>
        <sz val="10.0"/>
      </rPr>
      <t>SC-43</t>
    </r>
  </si>
  <si>
    <r>
      <rPr>
        <rFont val="Helvetica"/>
        <color rgb="FF231F20"/>
        <sz val="10.0"/>
      </rPr>
      <t>Usage Restrictions</t>
    </r>
  </si>
  <si>
    <r>
      <rPr>
        <rFont val="Helvetica"/>
        <color rgb="FF231F20"/>
        <sz val="10.0"/>
      </rPr>
      <t>SC-44</t>
    </r>
  </si>
  <si>
    <r>
      <rPr>
        <rFont val="Helvetica"/>
        <color rgb="FF231F20"/>
        <sz val="10.0"/>
      </rPr>
      <t>Detonation Chambers</t>
    </r>
  </si>
  <si>
    <r>
      <rPr>
        <rFont val="Helvetica"/>
        <color rgb="FF231F20"/>
        <sz val="10.0"/>
      </rPr>
      <t>SI-1</t>
    </r>
  </si>
  <si>
    <t>System and Information Integrity Policy and Procedures</t>
  </si>
  <si>
    <r>
      <rPr>
        <rFont val="Helvetica"/>
        <color rgb="FF231F20"/>
        <sz val="10.0"/>
      </rPr>
      <t>SI-2</t>
    </r>
  </si>
  <si>
    <r>
      <rPr>
        <rFont val="Helvetica"/>
        <color rgb="FF231F20"/>
        <sz val="10.0"/>
      </rPr>
      <t>Flaw Remediation</t>
    </r>
  </si>
  <si>
    <r>
      <rPr>
        <rFont val="Helvetica"/>
        <color rgb="FF231F20"/>
        <sz val="10.0"/>
      </rPr>
      <t>SI-3</t>
    </r>
  </si>
  <si>
    <r>
      <rPr>
        <rFont val="Helvetica"/>
        <color rgb="FF231F20"/>
        <sz val="10.0"/>
      </rPr>
      <t>Malicious Code Protection</t>
    </r>
  </si>
  <si>
    <r>
      <rPr>
        <rFont val="Helvetica"/>
        <color rgb="FF231F20"/>
        <sz val="10.0"/>
      </rPr>
      <t>SI-4</t>
    </r>
  </si>
  <si>
    <r>
      <rPr>
        <rFont val="Helvetica"/>
        <color rgb="FF231F20"/>
        <sz val="10.0"/>
      </rPr>
      <t>Information System Monitoring</t>
    </r>
  </si>
  <si>
    <r>
      <rPr>
        <rFont val="Helvetica"/>
        <color rgb="FF231F20"/>
        <sz val="10.0"/>
      </rPr>
      <t>SI-5</t>
    </r>
  </si>
  <si>
    <r>
      <rPr>
        <rFont val="Helvetica"/>
        <color rgb="FF231F20"/>
        <sz val="10.0"/>
      </rPr>
      <t>Security Alerts, Advisories, and Directives</t>
    </r>
  </si>
  <si>
    <r>
      <rPr>
        <rFont val="Helvetica"/>
        <color rgb="FF231F20"/>
        <sz val="10.0"/>
      </rPr>
      <t>SI-6</t>
    </r>
  </si>
  <si>
    <r>
      <rPr>
        <rFont val="Helvetica"/>
        <color rgb="FF231F20"/>
        <sz val="10.0"/>
      </rPr>
      <t>Security Function Verification</t>
    </r>
  </si>
  <si>
    <r>
      <rPr>
        <rFont val="Helvetica"/>
        <color rgb="FF231F20"/>
        <sz val="10.0"/>
      </rPr>
      <t>SI-7</t>
    </r>
  </si>
  <si>
    <t>Software, Firmware, and Information Integrity</t>
  </si>
  <si>
    <r>
      <rPr>
        <rFont val="Helvetica"/>
        <color rgb="FF231F20"/>
        <sz val="10.0"/>
      </rPr>
      <t>SI-8</t>
    </r>
  </si>
  <si>
    <r>
      <rPr>
        <rFont val="Helvetica"/>
        <color rgb="FF231F20"/>
        <sz val="10.0"/>
      </rPr>
      <t>Spam Protection</t>
    </r>
  </si>
  <si>
    <r>
      <rPr>
        <rFont val="Helvetica"/>
        <color rgb="FF231F20"/>
        <sz val="10.0"/>
      </rPr>
      <t>SI-9</t>
    </r>
  </si>
  <si>
    <r>
      <rPr>
        <rFont val="Helvetica"/>
        <b/>
        <color rgb="FF231F20"/>
        <sz val="10.0"/>
      </rPr>
      <t>Withdrawn</t>
    </r>
  </si>
  <si>
    <r>
      <rPr>
        <rFont val="Helvetica"/>
        <color rgb="FF231F20"/>
        <sz val="10.0"/>
      </rPr>
      <t>SI-10</t>
    </r>
  </si>
  <si>
    <r>
      <rPr>
        <rFont val="Helvetica"/>
        <color rgb="FF231F20"/>
        <sz val="10.0"/>
      </rPr>
      <t>Information Input Validation</t>
    </r>
  </si>
  <si>
    <r>
      <rPr>
        <rFont val="Helvetica"/>
        <color rgb="FF231F20"/>
        <sz val="10.0"/>
      </rPr>
      <t>SI-11</t>
    </r>
  </si>
  <si>
    <r>
      <rPr>
        <rFont val="Helvetica"/>
        <color rgb="FF231F20"/>
        <sz val="10.0"/>
      </rPr>
      <t>Error Handling</t>
    </r>
  </si>
  <si>
    <t>HECVAT: Assessment Summary Report</t>
  </si>
  <si>
    <r>
      <rPr>
        <rFont val="Helvetica"/>
        <color rgb="FF231F20"/>
        <sz val="10.0"/>
      </rPr>
      <t>SI-12</t>
    </r>
  </si>
  <si>
    <r>
      <rPr>
        <rFont val="Helvetica"/>
        <color rgb="FF231F20"/>
        <sz val="10.0"/>
      </rPr>
      <t>Information Handling and Retention</t>
    </r>
  </si>
  <si>
    <r>
      <rPr>
        <rFont val="Helvetica"/>
        <color rgb="FF231F20"/>
        <sz val="10.0"/>
      </rPr>
      <t>SI-13</t>
    </r>
  </si>
  <si>
    <r>
      <rPr>
        <rFont val="Helvetica"/>
        <color rgb="FF231F20"/>
        <sz val="10.0"/>
      </rPr>
      <t>Predictable Failure Prevention</t>
    </r>
  </si>
  <si>
    <r>
      <rPr>
        <rFont val="Helvetica"/>
        <color rgb="FF231F20"/>
        <sz val="10.0"/>
      </rPr>
      <t>SI-14</t>
    </r>
  </si>
  <si>
    <r>
      <rPr>
        <rFont val="Helvetica"/>
        <color rgb="FF231F20"/>
        <sz val="10.0"/>
      </rPr>
      <t>Non-Persistence</t>
    </r>
  </si>
  <si>
    <r>
      <rPr>
        <rFont val="Helvetica"/>
        <color rgb="FF231F20"/>
        <sz val="10.0"/>
      </rPr>
      <t>SI-15</t>
    </r>
  </si>
  <si>
    <r>
      <rPr>
        <rFont val="Helvetica"/>
        <color rgb="FF231F20"/>
        <sz val="10.0"/>
      </rPr>
      <t>Information Output Filtering</t>
    </r>
  </si>
  <si>
    <r>
      <rPr>
        <rFont val="Helvetica"/>
        <color rgb="FF231F20"/>
        <sz val="10.0"/>
      </rPr>
      <t>SI-16</t>
    </r>
  </si>
  <si>
    <r>
      <rPr>
        <rFont val="Helvetica"/>
        <color rgb="FF231F20"/>
        <sz val="10.0"/>
      </rPr>
      <t>Memory Protection</t>
    </r>
  </si>
  <si>
    <r>
      <rPr>
        <rFont val="Helvetica"/>
        <color rgb="FF231F20"/>
        <sz val="10.0"/>
      </rPr>
      <t>SI-17</t>
    </r>
  </si>
  <si>
    <r>
      <rPr>
        <rFont val="Helvetica"/>
        <color rgb="FF231F20"/>
        <sz val="10.0"/>
      </rPr>
      <t>Fail-Safe Procedures</t>
    </r>
  </si>
  <si>
    <r>
      <rPr>
        <rFont val="Helvetica"/>
        <color rgb="FF231F20"/>
        <sz val="10.0"/>
      </rPr>
      <t>PM-1</t>
    </r>
  </si>
  <si>
    <r>
      <rPr>
        <rFont val="Helvetica"/>
        <color rgb="FF231F20"/>
        <sz val="10.0"/>
      </rPr>
      <t>Information Security Program Plan</t>
    </r>
  </si>
  <si>
    <r>
      <rPr>
        <rFont val="Helvetica"/>
        <color rgb="FF231F20"/>
        <sz val="10.0"/>
      </rPr>
      <t>PM-2</t>
    </r>
  </si>
  <si>
    <r>
      <rPr>
        <rFont val="Helvetica"/>
        <color rgb="FF231F20"/>
        <sz val="10.0"/>
      </rPr>
      <t>Senior Information Security Officer</t>
    </r>
  </si>
  <si>
    <r>
      <rPr>
        <rFont val="Helvetica"/>
        <color rgb="FF231F20"/>
        <sz val="10.0"/>
      </rPr>
      <t>PM-3</t>
    </r>
  </si>
  <si>
    <r>
      <rPr>
        <rFont val="Helvetica"/>
        <color rgb="FF231F20"/>
        <sz val="10.0"/>
      </rPr>
      <t>Information Security Resources</t>
    </r>
  </si>
  <si>
    <r>
      <rPr>
        <rFont val="Helvetica"/>
        <color rgb="FF231F20"/>
        <sz val="10.0"/>
      </rPr>
      <t>PM-4</t>
    </r>
  </si>
  <si>
    <r>
      <rPr>
        <rFont val="Helvetica"/>
        <color rgb="FF231F20"/>
        <sz val="10.0"/>
      </rPr>
      <t>Plan of Action and Milestones Process</t>
    </r>
  </si>
  <si>
    <r>
      <rPr>
        <rFont val="Helvetica"/>
        <color rgb="FF231F20"/>
        <sz val="10.0"/>
      </rPr>
      <t>PM-5</t>
    </r>
  </si>
  <si>
    <r>
      <rPr>
        <rFont val="Helvetica"/>
        <color rgb="FF231F20"/>
        <sz val="10.0"/>
      </rPr>
      <t>Information System Inventory</t>
    </r>
  </si>
  <si>
    <r>
      <rPr>
        <rFont val="Helvetica"/>
        <color rgb="FF231F20"/>
        <sz val="10.0"/>
      </rPr>
      <t>PM-6</t>
    </r>
  </si>
  <si>
    <t>Information Security Measures of Performance</t>
  </si>
  <si>
    <r>
      <rPr>
        <rFont val="Helvetica"/>
        <color rgb="FF231F20"/>
        <sz val="10.0"/>
      </rPr>
      <t>PM-7</t>
    </r>
  </si>
  <si>
    <t>Enterprise Architecture</t>
  </si>
  <si>
    <r>
      <rPr>
        <rFont val="Helvetica"/>
        <color rgb="FF231F20"/>
        <sz val="10.0"/>
      </rPr>
      <t>PM-8</t>
    </r>
  </si>
  <si>
    <t>Critical Infrastructure Plan</t>
  </si>
  <si>
    <r>
      <rPr>
        <rFont val="Helvetica"/>
        <color rgb="FF231F20"/>
        <sz val="10.0"/>
      </rPr>
      <t>PM-9</t>
    </r>
  </si>
  <si>
    <t>Risk Management Strategy</t>
  </si>
  <si>
    <r>
      <rPr>
        <rFont val="Helvetica"/>
        <color rgb="FF231F20"/>
        <sz val="10.0"/>
      </rPr>
      <t>PM-10</t>
    </r>
  </si>
  <si>
    <t>Security Authorization Process</t>
  </si>
  <si>
    <r>
      <rPr>
        <rFont val="Helvetica"/>
        <color rgb="FF231F20"/>
        <sz val="10.0"/>
      </rPr>
      <t>PM-11</t>
    </r>
  </si>
  <si>
    <t>Mission/Business Process Definition</t>
  </si>
  <si>
    <r>
      <rPr>
        <rFont val="Helvetica"/>
        <color rgb="FF231F20"/>
        <sz val="10.0"/>
      </rPr>
      <t>PM-12</t>
    </r>
  </si>
  <si>
    <t>Insider Threat Program</t>
  </si>
  <si>
    <r>
      <rPr>
        <rFont val="Helvetica"/>
        <color rgb="FF231F20"/>
        <sz val="10.0"/>
      </rPr>
      <t>PM-13</t>
    </r>
  </si>
  <si>
    <t>Information Security Workforce</t>
  </si>
  <si>
    <r>
      <rPr>
        <rFont val="Helvetica"/>
        <color rgb="FF231F20"/>
        <sz val="10.0"/>
      </rPr>
      <t>PM-14</t>
    </r>
  </si>
  <si>
    <t>Testing, Training, &amp; Monitoring</t>
  </si>
  <si>
    <r>
      <rPr>
        <rFont val="Helvetica"/>
        <color rgb="FF231F20"/>
        <sz val="10.0"/>
      </rPr>
      <t>PM-15</t>
    </r>
  </si>
  <si>
    <t>Contacts with Security Groups and Associations</t>
  </si>
  <si>
    <r>
      <rPr>
        <rFont val="Helvetica"/>
        <color rgb="FF231F20"/>
        <sz val="10.0"/>
      </rPr>
      <t>PM-16</t>
    </r>
  </si>
  <si>
    <t>Threat Awareness Program</t>
  </si>
  <si>
    <t>NIST SP 800-34</t>
  </si>
  <si>
    <t>Contingency Planning Guide for Federal Information Systems</t>
  </si>
  <si>
    <t>NIST SP 800-46</t>
  </si>
  <si>
    <t>Guide to Enterprise Telework, Remote Access, and Bring Your Own Device (BYOD) Security</t>
  </si>
  <si>
    <t>NIST SP 800-60</t>
  </si>
  <si>
    <t>Guide for Mapping Types of Information and Information Systems to Security Categories</t>
  </si>
  <si>
    <t>NIST SP 800-88</t>
  </si>
  <si>
    <t>Guidelines for Media Sanitization</t>
  </si>
  <si>
    <t>Physical Access Authorizations; Physical Access Control; Access Control for Transmission Medium; Emergency Power; Fire Protection; Temperature and Humidity Controls; External Information System Services</t>
  </si>
  <si>
    <t>System Development Life Cycle; Development Process, Standards, and Tools; Application Partitioning; Senior Information Security Officer; Security Authorization Process; Security Alerts, Advisories, and Directives; Information Security Resources</t>
  </si>
  <si>
    <t>AC-2, AC-3, AC-6</t>
  </si>
  <si>
    <t>Account Management; Access Enforcement; Least Privilege</t>
  </si>
  <si>
    <t>Access Enforcement; Least Functionality; Guide to Enterprise Telework, Remote Access, and Bring Your Own Device (BYOD) Security</t>
  </si>
  <si>
    <t>Internal System Connections; Information in Shared Resources</t>
  </si>
  <si>
    <t>Identification and Authentication (Organizational Users); Authenticator Management</t>
  </si>
  <si>
    <t>Audit and Accountability: reviews and updates; Audit Review, Analysis, and Reporting; Audit Generation; Access Control: Auditing use of privileged functions; Configuration Change Control; Controlled Maintenance; Maintenance Personnel; Physical Access Control</t>
  </si>
  <si>
    <t>Audit Reduction and Report Generation; Protection of Audit Information; Incident Handling; Separation of Duties; Contingency Plan Testing; Information System Recovery and Reconstitution; Contingency Planning Guide for Federal Information Systems</t>
  </si>
  <si>
    <t>Separation of Duties; Contingency Plan Testing; Information System Recovery and Reconstitution; Contingency Planning Guide for Federal Information Systems</t>
  </si>
  <si>
    <t>Configuration Change Control; Security Impact Analysis; Access Restrictions for Change</t>
  </si>
  <si>
    <t>Information Flow Enforcement; Media Access; Media Storage</t>
  </si>
  <si>
    <t>Media Access; Access Control: Full device / container based encryption</t>
  </si>
  <si>
    <t>Information System Backup; Media Transport</t>
  </si>
  <si>
    <t>Information System Backup; Media Sanitization; Guide for Mapping Types of Information and Information Systems to Security Categories; Guidelines for Media Sanitization; Account Management; Least Privilege; Identifier Management; Senior Information Security Officer; Security Authorization Process; Security Alerts, Advisories, and Directives; Controlled Maintenance; Maintenance Tools</t>
  </si>
  <si>
    <t>IR-2, IR-4, IR-9</t>
  </si>
  <si>
    <t>Incident Response Training; Incident Handling; Information Spillage Response</t>
  </si>
  <si>
    <t>IR-2, IR-4, IR-10</t>
  </si>
  <si>
    <t>Incident Response Training; Incident Handling; Integrated Information Security Analysis Team</t>
  </si>
  <si>
    <t>Media Storage; Physical Access Authorizations; Access Control for Output Devices; Monitoring Physical Access; Alternate Work Site</t>
  </si>
  <si>
    <t>Media Access; Media Transport; Media Use</t>
  </si>
  <si>
    <t>Senior Information Security Officer; Security Authorization Process; Security Alerts, Advisories, and Directives; Plan of Action and Milestones; Information Security Program Plan</t>
  </si>
  <si>
    <t>CA-5, CM-3, PM-1, SA-15, SA-3, SA-8, SC-2</t>
  </si>
  <si>
    <t>Plan of Action and Milestones; Configuration Change Control; Information Security Program Plan; Development Process, Standards, and Tools; System Development Life Cycle; Security Engineering Principles; Application Partitioning</t>
  </si>
  <si>
    <t>Plan of Action and Milestones; Information Security Program Plan; Identifier Management; Authenticator Management; Cryptographic Module Authentication; Identification and Authentication (Non- Organizational Users)</t>
  </si>
  <si>
    <t>Vendor</t>
  </si>
  <si>
    <t>Plan of Action and Milestones; Information Security Program Plan</t>
  </si>
  <si>
    <t>Baseline Configuration; Configuration Settings; Configuration Change Control; Access Control for Mobile Devices; Controlled Maintenance</t>
  </si>
  <si>
    <t>Order</t>
  </si>
  <si>
    <t>Security management process: Implement policies and procedures to prevent, detect, contain, and correct security violations.</t>
  </si>
  <si>
    <t>Has the risk management process been completed using IAW NIST Guidelines?</t>
  </si>
  <si>
    <t>1.x</t>
  </si>
  <si>
    <t>Product</t>
  </si>
  <si>
    <t>Description</t>
  </si>
  <si>
    <t>Additional Info</t>
  </si>
  <si>
    <t>High Risk</t>
  </si>
  <si>
    <t>Category</t>
  </si>
  <si>
    <t>C_Answer</t>
  </si>
  <si>
    <t>Required</t>
  </si>
  <si>
    <t>V_Answer</t>
  </si>
  <si>
    <t>Compliant</t>
  </si>
  <si>
    <t>Weight</t>
  </si>
  <si>
    <t>CIS</t>
  </si>
  <si>
    <t>ISO 27002:27013</t>
  </si>
  <si>
    <t>Category_Total</t>
  </si>
  <si>
    <t>Category_divisor</t>
  </si>
  <si>
    <t>Overall Score:</t>
  </si>
  <si>
    <t>Install and maintain a firewall configuration to protect cardholder data</t>
  </si>
  <si>
    <t>Establish and implement firewall and router configuration standards that include the following:</t>
  </si>
  <si>
    <t>1.1.1</t>
  </si>
  <si>
    <t>A formal process for approving and testing all network connections and changes to the firewall and router configurations</t>
  </si>
  <si>
    <t>1.1.2</t>
  </si>
  <si>
    <t>Current network diagram that identifies all connections between the cardholder data environment and other networks, including any wireless networks</t>
  </si>
  <si>
    <t>1.1.3</t>
  </si>
  <si>
    <t>Current diagram that shows all cardholder data flows across systems and networks</t>
  </si>
  <si>
    <t>1.1.4</t>
  </si>
  <si>
    <t>Requirements for a firewall at each Internet connection and between any demilitarized zone (DMZ) and the internal network zone</t>
  </si>
  <si>
    <t>1.1.5</t>
  </si>
  <si>
    <t>Description of groups, roles, and responsibilities for management of network components</t>
  </si>
  <si>
    <t>1.1.6</t>
  </si>
  <si>
    <t>Documentation of business justification and approval for use of all services, protocols, and ports allowed, including documentation of security features implemented for those protocols considered to be insecure.</t>
  </si>
  <si>
    <t>1.1.7</t>
  </si>
  <si>
    <t>Requirement to review firewall and router rule sets at least every six months</t>
  </si>
  <si>
    <t>Build firewall and router configurations that restrict connections between untrusted networks and any system components in the cardholder data environment. Note: An “untrusted network” is any network that is external to the networks belonging to the entity under review, and/or which is out of the entity's ability to control or manage.</t>
  </si>
  <si>
    <t>1.2.1</t>
  </si>
  <si>
    <t>Restrict inbound and outbound traffic to that which is necessary for the cardholder data environment, and specifically deny all other traffic.</t>
  </si>
  <si>
    <t>1.2.2</t>
  </si>
  <si>
    <t>Secure and synchronize router configuration files.</t>
  </si>
  <si>
    <t>1.2.3</t>
  </si>
  <si>
    <t>Install perimeter firewalls between all wireless networks and the cardholder data environment, and configure these firewalls to deny or, if traffic is necessary for business purposes, permit only authorized traffic between the wireless environment and the cardholder data environment.</t>
  </si>
  <si>
    <t>Prohibit direct public access between the Internet and any system component in the cardholder data environment.</t>
  </si>
  <si>
    <t>1.3.1</t>
  </si>
  <si>
    <t>Implement a DMZ to limit inbound traffic to only system components that provide authorized publicly accessible services, protocols, and ports.</t>
  </si>
  <si>
    <t>1.3.2</t>
  </si>
  <si>
    <t>Limit inbound Internet traffic to IP addresses within the DMZ.</t>
  </si>
  <si>
    <t>1.3.3</t>
  </si>
  <si>
    <t>Implement anti-spoofing measures to detect and block forged source IP addresses from entering the network. (For example, block traffic originating from the Internet with an internal source address.)</t>
  </si>
  <si>
    <t>1.3.4</t>
  </si>
  <si>
    <t>Do not allow unauthorized outbound traffic from the cardholder data environment to the Internet.</t>
  </si>
  <si>
    <t>1.3.5</t>
  </si>
  <si>
    <t>Permit only “established” connections into the network.</t>
  </si>
  <si>
    <t>1.3.6</t>
  </si>
  <si>
    <t>Place system components that store cardholder data (such as a database) in an internal network zone, segregated from the DMZ and other untrusted networks.</t>
  </si>
  <si>
    <t>1.3.7</t>
  </si>
  <si>
    <t>Do not disclose private IP addresses and routing information to unauthorized parties. Note: Methods to obscure IP addressing may include, but are not limited to: • Network Address Translation (NAT) • Placing servers containing cardholder data behind proxy servers/firewalls, • Removal or filtering of route advertisements for private networks that employ registered addressing, • Internal use of RFC1918 address space instead of registered addresses.</t>
  </si>
  <si>
    <t>Install personal firewall software or equivalent functionality on any portable computing devices (including company and/or employee-owned) that connect to the Internet when outside the network (for example, laptops used by employees), and which are also used to access the CDE. Firewall (or equivalent) configurations include: • Specific configuration settings are defined. • Personal firewall (or equivalent functionality) is actively running. • Personal firewall (or equivalent functionality) is not alterable by users of the portable computing devices.</t>
  </si>
  <si>
    <t>Ensure that security policies and operational procedures for managing firewalls are documented, in use, and known to all affected parties.</t>
  </si>
  <si>
    <t>2.x</t>
  </si>
  <si>
    <t>Do not use vendor-supplied defaults for system passwords and other security parameters</t>
  </si>
  <si>
    <t>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t>
  </si>
  <si>
    <t>2.1.1</t>
  </si>
  <si>
    <t>For wireless environments connected to the cardholder data environment or transmitting cardholder data, change ALL wireless vendor defaults at installation, including but not limited to default wireless encryption keys, passwords, and SNMP community strings.</t>
  </si>
  <si>
    <t>Develop configuration standards for all system components. Assure that these standards address all known security vulnerabilities and are consistent with industry-accepted system hardening standards. Sources of industry-accepted system hardening standards may include, but are not limited to: • Center for Internet Security (CIS) • International Organization for Standardization (ISO) • SysAdmin Audit Network Security (SANS) Institute • National Institute of Standards Technology (NIST).</t>
  </si>
  <si>
    <t>2.2.1</t>
  </si>
  <si>
    <t>Implement only one primary function per server to prevent functions that require different security levels from co-existing on the same server. (For example, web servers, database servers, and DNS should be implemented on separate servers.) Note: Where virtualization technologies are in use, implement only one primary function per virtual system component.</t>
  </si>
  <si>
    <t>2.2.2</t>
  </si>
  <si>
    <t>Enable only necessary services, protocols, daemons, etc., as required for the function of the system.</t>
  </si>
  <si>
    <t>2.2.3</t>
  </si>
  <si>
    <t>Implement additional security features for any required services, protocols, or daemons that are considered to be insecure. Note: Where SSL/early TLS is used, the requirements in Appendix A2 must be completed.</t>
  </si>
  <si>
    <t>2.2.4</t>
  </si>
  <si>
    <t>Configure system security parameters to prevent misuse.</t>
  </si>
  <si>
    <t>2.2.5</t>
  </si>
  <si>
    <t>Remove all unnecessary functionality, such as scripts, drivers, features, subsystems, file systems, and unnecessary web servers.</t>
  </si>
  <si>
    <t>Encrypt all non-console administrative access using strong cryptography. Note: Where SSL/early TLS is used, the requirements in Appendix A2 must be completed.</t>
  </si>
  <si>
    <t>Maintain an inventory of system components that are in scope for PCI DSS.</t>
  </si>
  <si>
    <t>Ensure that security policies and operational procedures for managing vendor defaults and other security parameters are documented, in use, and known to all affected parties.</t>
  </si>
  <si>
    <t>Shared hosting providers must protect each entity’s hosted environment and cardholder data. These providers must meet specific requirements as detailed in Appendix A1: Additional PCI DSS Requirements for Shared Hosting Providers.</t>
  </si>
  <si>
    <t>3.x</t>
  </si>
  <si>
    <t>Protect stored cardholder data</t>
  </si>
  <si>
    <t>Keep cardholder data storage to a minimum by implementing data retention and disposal policies, procedures and processes that include at least the following for all cardholder data (CHD) storage: • Limiting data storage amount and retention time to that which is required for legal, regulatory, and/or business requirements • Specific retention requirements for cardholder data • Processes for secure deletion of data when no longer needed • A quarterly process for identifying and securely deleting stored cardholder data that exceeds defined retention.</t>
  </si>
  <si>
    <t>Do not store sensitive authentication data after authorization (even if encrypted). If sensitive authentication data is received, render all data unrecoverable upon completion of the authorization process. It is permissible for issuers and companies that support issuing services to store sensitive authentication data if: • There is a business justification and • The data is stored securely. Sensitive authentication data includes the data as cited in the following Requirements 3.2.1 through 3.2.3:</t>
  </si>
  <si>
    <t>Do not store the full contents of any track (from the magnetic stripe located on the back of a card, equivalent data contained on a chip, or elsewhere) after authorization. This data is alternatively called full track, track, track 1, track 2, and magnetic-stripe data. Note: In the normal course of business, the following data elements from the magnetic stripe may need to be retained: • The cardholder’s name • Primary account number (PAN) • Expiration date • Service code To minimize risk, store only these data elements as needed for business.</t>
  </si>
  <si>
    <t>Do not store the card verification code or value (three-digit or four-digit number printed on the front or back of a payment card used to verify card-not-present transactions) after authorization.</t>
  </si>
  <si>
    <t>Do not store the personal identification number (PIN) or the encrypted PIN block after authorization.</t>
  </si>
  <si>
    <t>Mask PAN when displayed (the first six and last four digits are the maximum number of digits to be displayed), such that only personnel with a legitimate business need can see more than the first six/last four digits of the PAN. Note: This requirement does not supersede stricter requirements in place for displays of cardholder data—for example, legal or payment card brand requirements for point-of-sale (POS) receipts.</t>
  </si>
  <si>
    <t>Render PAN unreadable anywhere it is stored (including on portable digital media, backup media, and in logs) by using any of the following approaches: • One-way hashes based on strong cryptography, (hash must be of the entire PAN) • Truncation (hashing cannot be used to replace the truncated segment of PAN) • Index tokens and pads (pads must be securely stored) • Strong cryptography with associated key-management processes and procedures. Note: It is a relatively trivial effort for a malicious individual to reconstruct original PAN data if they have access to both the truncated and hashed version of a PAN. Where hashed and truncated versions of the same PAN are present in an entity’s environment, additional controls must be in place to ensure that the hashed and truncated versions cannot be correlated to reconstruct the original PAN.</t>
  </si>
  <si>
    <t>If disk encryption is used (rather than file- or column-level database encryption), logical access must be managed separately and independently of native operating system authentication and access control mechanisms (for example, by not using local user account databases or general network login credentials). Decryption keys must not be associated with user accounts. Note: This requirement applies in addition to all other PCI DSS encryption and key-management requirements.</t>
  </si>
  <si>
    <t>Document and implement procedures to protect keys used to secure stored cardholder data against disclosure and misuse: Note: This requirement applies to keys used to encrypt stored cardholder data, and also applies to key-encrypting keys used to protect data-encrypting keys—such key-encrypting keys must be at least as strong as the data-encrypting key.</t>
  </si>
  <si>
    <t>Additional requirement for service providers only: Maintain a documented description of the cryptographic architecture that includes: • Details of all algorithms, protocols, and keys used for the protection of cardholder data, including key strength and expiry date • Description of the key usage for each key. • Inventory of any HSMs and other SCDs used for key management Note: This requirement is a best practice until January 31, 2018, after which it becomes a requirement.</t>
  </si>
  <si>
    <t>Restrict access to cryptographic keys to the fewest number of custodians necessary.</t>
  </si>
  <si>
    <t>Store secret and private keys used to encrypt/decrypt cardholder data in one (or more) of the following forms at all times: • Encrypted with a key-encrypting key that is at least as strong as the data-encrypting key, and that is stored separately from the data-encrypting key • Within a secure cryptographic device (such as a hardware (host) security module (HSM) or PTS-approved point-of-interaction device) • As at least two full-length key components or key shares, in accordance with an industry-accepted method Note: It is not required that public keys be stored in one of these forms.</t>
  </si>
  <si>
    <t>Store cryptographic keys in the fewest possible locations.</t>
  </si>
  <si>
    <t>Fully document and implement all key-management processes and procedures for cryptographic keys used for encryption of cardholder data, including the following: Note: Numerous industry standards for key management are available from various resources including NIST, which can be found at http://csrc.nist.gov.</t>
  </si>
  <si>
    <t>Generation of strong cryptographic keys</t>
  </si>
  <si>
    <t>Secure cryptographic key distribution</t>
  </si>
  <si>
    <t>Secure cryptographic key storage</t>
  </si>
  <si>
    <t>3.6.4</t>
  </si>
  <si>
    <t>Cryptographic key changes for keys that have reached the end of their cryptoperiod (for example, after a defined period of time has passed and/or after a certain amount of cipher-text has been produced by a given key), as defined by the associated application vendor or key owner, and based on industry best practices and guidelines (for example, NIST Special Publication 800-57).</t>
  </si>
  <si>
    <t>3.6.5</t>
  </si>
  <si>
    <t>Retirement or replacement (for example, archiving, destruction, and/or revocation) of keys as deemed necessary when the integrity of the key has been weakened (for example, departure of an employee with knowledge of a clear-text key component), or keys are suspected of being compromised. Note: If retired or replaced cryptographic keys need to be retained, these keys must be securely archived (for example, by using a key-encryption key). Archived cryptographic keys should only be used for decryption/verification purposes.</t>
  </si>
  <si>
    <t>3.6.6</t>
  </si>
  <si>
    <t>If manual clear-text cryptographic key-management operations are used, these operations must be managed using split knowledge and dual control. Note: Examples of manual key-management operations include, but are not limited to: key generation, transmission, loading, storage and destruction.</t>
  </si>
  <si>
    <t>3.6.7</t>
  </si>
  <si>
    <t>Prevention of unauthorized substitution of cryptographic keys.</t>
  </si>
  <si>
    <t>3.6.8</t>
  </si>
  <si>
    <t>Requirement for cryptographic key custodians to formally acknowledge that they understand and accept their key-custodian responsibilities.</t>
  </si>
  <si>
    <t>Ensure that security policies and operational procedures for protecting stored cardholder data are documented, in use, and known to all affected parties.</t>
  </si>
  <si>
    <t>4.x</t>
  </si>
  <si>
    <t>Encrypt transmission of cardholder data across open, public networks</t>
  </si>
  <si>
    <t>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t>
  </si>
  <si>
    <t>4.1.1</t>
  </si>
  <si>
    <t>Ensure wireless networks transmitting cardholder data or connected to the cardholder data environment, use industry best practices to implement strong encryption for authentication and transmission.</t>
  </si>
  <si>
    <t>Never send unprotected PANs by end-user messaging technologies (for example, e-mail, instant messaging, SMS, chat, etc.).</t>
  </si>
  <si>
    <t>Ensure that security policies and operational procedures for encrypting transmissions of cardholder data are documented, in use, and known to all affected parties.</t>
  </si>
  <si>
    <t>5.x</t>
  </si>
  <si>
    <t>Use and regularly update anti-virus software or programs</t>
  </si>
  <si>
    <t>Deploy anti-virus software on all systems commonly affected by malicious software (particularly personal computers and servers).</t>
  </si>
  <si>
    <t>Ensure that anti-virus programs are capable of detecting, removing, and protecting against all known types of malicious software.</t>
  </si>
  <si>
    <t>For systems considered to be not commonly affected by malicious software, perform periodic evaluations to identify and evaluate evolving malware threats in order to confirm whether such systems continue to not require anti-virus software.</t>
  </si>
  <si>
    <t>Ensure that all anti-virus mechanisms are maintained as follows: • Are kept current, • Perform periodic scans • Generate audit logs which are retained per PCI DSS Requirement 10.7.</t>
  </si>
  <si>
    <t>Ensure that anti-virus mechanisms are actively running and cannot be disabled or altered by users, unless specifically authorized by management on a case-by-case basis for a limited time period. Note: Anti-virus solutions may be temporarily disabled only if there is legitimate technical need, as authorized by management on a case-by-case basis. If anti-virus protection needs to be disabled for a specific purpose, it must be formally authorized. Additional security measures may also need to be implemented for the period of time during which anti-virus protection is not active.</t>
  </si>
  <si>
    <t>Ensure that security policies and operational procedures for protecting systems against malware are documented, in use, and known to all affected parties.</t>
  </si>
  <si>
    <t>6.x</t>
  </si>
  <si>
    <t>Develop and maintain secure systems and applications</t>
  </si>
  <si>
    <t>Establish a process to identify security vulnerabilities, using reputable outside sources for security vulnerability information, and assign a risk ranking (for example, as “high,” “medium,” or “low”) to newly discovered security vulnerabilities. Note: Risk rankings should be based on industry best practices as well as consideration of potential impact. For example, criteria for ranking vulnerabilities may include consideration of the CVSS base score, and/or the classification by the vendor, and/or type of systems affected. Methods for evaluating vulnerabilities and assigning risk ratings will vary based on an organization’s environment and risk-assessment strategy. Risk rankings should, at a minimum, identify all vulnerabilities considered to be a “high risk” to the environment. In addition to the risk ranking, vulnerabilities may be considered “critical” if they pose an imminent threat to the environment, impact critical systems, and/or would result in a potential compromise if not addressed. Examples of critical systems may include security systems, public-facing devices and systems, databases, and other systems that store, process, or transmit cardholder data.</t>
  </si>
  <si>
    <t>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t>
  </si>
  <si>
    <t>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t>
  </si>
  <si>
    <t>6.3.1</t>
  </si>
  <si>
    <t>Remove development, test and/or custom application accounts, user IDs, and passwords before applications become active or are released to customers.</t>
  </si>
  <si>
    <t>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t>
  </si>
  <si>
    <t>Follow change control processes and procedures for all changes to system components. The processes must include the following:</t>
  </si>
  <si>
    <t>6.4.1</t>
  </si>
  <si>
    <t>Separate development/test environments from production environments, and enforce the separation with access controls.</t>
  </si>
  <si>
    <t>6.4.2</t>
  </si>
  <si>
    <t>Separation of duties between development/test and production environments</t>
  </si>
  <si>
    <t>6.4.3</t>
  </si>
  <si>
    <t>Production data (live PANs) are not used for testing or development</t>
  </si>
  <si>
    <t>6.4.4</t>
  </si>
  <si>
    <t>Removal of test data and accounts from system components before the system becomes active/goes into production.</t>
  </si>
  <si>
    <t>Change control procedures must include the following:</t>
  </si>
  <si>
    <t>6.4.5.1</t>
  </si>
  <si>
    <t>Documentation of impact.</t>
  </si>
  <si>
    <t>6.4.5.2</t>
  </si>
  <si>
    <t>Documented change approval by authorized parties.</t>
  </si>
  <si>
    <t>6.4.5.3</t>
  </si>
  <si>
    <t>Functionality testing to verify that the change does not adversely impact the security of the system.</t>
  </si>
  <si>
    <t>6.4.5.4</t>
  </si>
  <si>
    <t>Back-out procedures.</t>
  </si>
  <si>
    <t>6.4.6</t>
  </si>
  <si>
    <t>Upon completion of a significant change, all relevant PCI DSS requirements must be implemented on all new or changed systems and networks, and documentation updated as applicable. Note: This requirement is a best practice until January 31, 2018, after which it becomes a requirement.</t>
  </si>
  <si>
    <t>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t>
  </si>
  <si>
    <t>6.5.1</t>
  </si>
  <si>
    <t>Injection flaws, particularly SQL injection. Also consider OS Command Injection, LDAP and XPath injection flaws as well as other injection flaws.</t>
  </si>
  <si>
    <t>6.5.2</t>
  </si>
  <si>
    <t>Buffer overflows</t>
  </si>
  <si>
    <t>6.5.3</t>
  </si>
  <si>
    <t>Insecure cryptographic storage</t>
  </si>
  <si>
    <t>6.5.4</t>
  </si>
  <si>
    <t>Insecure communications</t>
  </si>
  <si>
    <t>6.5.5</t>
  </si>
  <si>
    <t>Improper error handling</t>
  </si>
  <si>
    <t>6.5.6</t>
  </si>
  <si>
    <t>All “high risk” vulnerabilities identified in the vulnerability identification process (as defined in PCI DSS Requirement 6.1).</t>
  </si>
  <si>
    <t>6.5.7</t>
  </si>
  <si>
    <t>Cross-site scripting (XSS)</t>
  </si>
  <si>
    <t>6.5.8</t>
  </si>
  <si>
    <t>Improper access control (such as insecure direct object references, failure to restrict URL access, directory traversal, and failure to restrict user access to functions).</t>
  </si>
  <si>
    <t>6.5.9</t>
  </si>
  <si>
    <t>Cross-site request forgery (CSRF)</t>
  </si>
  <si>
    <t>6.5.10</t>
  </si>
  <si>
    <t>Broken authentication and session management</t>
  </si>
  <si>
    <t>For public-facing web applications, address new threats and vulnerabilities on an ongoing basis and ensure these applications are protected against known attacks by either of the following methods: • Reviewing public-facing web applications via manual or automated application vulnerability security assessment tools or methods, at least annually and after any changes Note: This assessment is not the same as the vulnerability scans performed for Requirement 11.2. • Installing an automated technical solution that detects and prevents web-based attacks (for example, a web-application firewall) in front of public-facing web applications, to continually check all traffic.</t>
  </si>
  <si>
    <t>Ensure that security policies and operational procedures for developing and maintaining secure systems and applications are documented, in use, and known to all affected parties.</t>
  </si>
  <si>
    <t>Restrict access to cardholder data by business need to know</t>
  </si>
  <si>
    <t>Limit access to system components and cardholder data to only those individuals whose job requires such access.</t>
  </si>
  <si>
    <t>Define access needs for each role, including: • System components and data resources that each role needs to access for their job function • Level of privilege required (for example, user, administrator, etc.) for accessing resources.</t>
  </si>
  <si>
    <t>Restrict access to privileged user IDs to least privileges necessary to perform job responsibilities.</t>
  </si>
  <si>
    <t>Assign access based on individual personnel’s job classification and function.</t>
  </si>
  <si>
    <t>7.1.4</t>
  </si>
  <si>
    <t>Require documented approval by authorized parties specifying required privileges.</t>
  </si>
  <si>
    <t>Establish an access control system(s) for systems components that restricts access based on a user’s need to know, and is set to “deny all” unless specifically allowed. This access control system(s) must include the following:</t>
  </si>
  <si>
    <t>Coverage of all system components</t>
  </si>
  <si>
    <t>Assignment of privileges to individuals based on job classification and function.</t>
  </si>
  <si>
    <t>Default “deny-all” setting.</t>
  </si>
  <si>
    <t>Ensure that security policies and operational procedures for restricting access to cardholder data are documented, in use, and known to all affected parties.</t>
  </si>
  <si>
    <t>Assign a unique ID to each person with computer access</t>
  </si>
  <si>
    <t>Define and implement policies and procedures to ensure proper user identification management for non-consumer users and administrators on all system components as follows:</t>
  </si>
  <si>
    <t>Assign all users a unique ID before allowing them to access system components or cardholder data.</t>
  </si>
  <si>
    <t>Control addition, deletion, and modification of user IDs, credentials, and other identifier objects.</t>
  </si>
  <si>
    <t>Immediately revoke access for any terminated users.</t>
  </si>
  <si>
    <t>Remove/disable inactive user accounts within 90 days.</t>
  </si>
  <si>
    <t>8.1.5</t>
  </si>
  <si>
    <t>Manage IDs used by third parties to access, support, or maintain system components via remote access as follows: • Enabled only during the time period needed and disabled when not in use. • Monitored when in use.</t>
  </si>
  <si>
    <t>8.1.6</t>
  </si>
  <si>
    <t>Limit repeated access attempts by locking out the user ID after not more than six attempts.</t>
  </si>
  <si>
    <t>8.1.7</t>
  </si>
  <si>
    <t>Set the lockout duration to a minimum of 30 minutes or until an administrator enables the user ID.</t>
  </si>
  <si>
    <t>8.1.8</t>
  </si>
  <si>
    <t>If a session has been idle for more than 15 minutes, require the user to re-authenticate to re-activate the terminal or session.</t>
  </si>
  <si>
    <t>In addition to assigning a unique ID, ensure proper user-authentication management for non-consumer users and administrators on all system components by employing at least one of the following methods to authenticate all users: • Something you know, such as a password or passphrase • Something you have, such as a token device or smart card • Something you are, such as a biometric.</t>
  </si>
  <si>
    <t>Using strong cryptography, render all authentication credentials (such as passwords/phrases) unreadable during transmission and storage on all system components.</t>
  </si>
  <si>
    <t>Verify user identity before modifying any authentication credential—for example, performing password resets, provisioning new tokens, or generating new keys.</t>
  </si>
  <si>
    <t>Passwords/passphrases must meet the following: • Require a minimum length of at least seven characters. • Contain both numeric and alphabetic characters. Alternatively, the passwords/passphrases must have complexity and strength at least equivalent to the parameters specified above.</t>
  </si>
  <si>
    <t>8.2.4</t>
  </si>
  <si>
    <t>Change user passwords/passphrases at least once every 90 days.</t>
  </si>
  <si>
    <t>8.2.5</t>
  </si>
  <si>
    <t>Do not allow an individual to submit a new password/passphrase that is the same as any of the last four passwords/passphrases he or she has used.</t>
  </si>
  <si>
    <t>8.2.6</t>
  </si>
  <si>
    <t>Set passwords/passphrases for first-time use and upon reset to a unique value for each user, and change immediately after the first use.</t>
  </si>
  <si>
    <t>Secure all individual non-console administrative access and all remote access to the CDE using multi-factor authentication. Note: Multi-factor authentication requires that a minimum of two of the three authentication methods (see Requirement 8.2 for descriptions of authentication methods) be used for authentication. Using one factor twice (for example, using two separate passwords) is not considered multi-factor authentication.</t>
  </si>
  <si>
    <t>Incorporate multi-factor authentication for all non-console access into the CDE for personnel with administrative access. Note: This requirement is a best practice until January 31, 2018, after which it becomes a requirement.</t>
  </si>
  <si>
    <t>Incorporate multi-factor authentication for all remote network access (both user and administrator, and including third party access for support or maintenance) originating from outside the entity's network.</t>
  </si>
  <si>
    <t>Document and communicate authentication policies and procedures to all users including: • Guidance on selecting strong authentication credentials • Guidance for how users should protect their authentication credentials • Instructions not to reuse previously used passwords • Instructions to change passwords if there is any suspicion the password could be compromised.</t>
  </si>
  <si>
    <t>Do not use group, shared, or generic IDs, passwords, or other authentication methods as follows: • Generic user IDs are disabled or removed. • Shared user IDs do not exist for system administration and other critical functions. • Shared and generic user IDs are not used to administer any system components.</t>
  </si>
  <si>
    <t>8.5.1</t>
  </si>
  <si>
    <t>Additional requirement for service providers only: Service providers with remote access to customer premises (for example, for support of POS systems or servers) must use a unique authentication credential (such as a password/phrase) for each customer. Note: This requirement is not intended to apply to shared hosting providers accessing their own hosting environment, where multiple customer environments are hosted.</t>
  </si>
  <si>
    <t>Where other authentication mechanisms are used (for example, physical or logical security tokens, smart cards, certificates, etc.), use of these mechanisms must be assigned as follows: • Authentication mechanisms must be assigned to an individual account and not shared among multiple accounts. • Physical and/or logical controls must be in place to ensure only the intended account can use that mechanism to gain access.</t>
  </si>
  <si>
    <t>All access to any database containing cardholder data (including access by applications, administrators, and all other users) is restricted as follows: • All user access to, user queries of, and user actions on databases are through programmatic methods. • Only database administrators have the ability to directly access or query databases. • Application IDs for database applications can only be used by the applications (and not by individual users or other non-application processes).</t>
  </si>
  <si>
    <t>Ensure that security policies and operational procedures for identification and authentication are documented, in use, and known to all affected parties.</t>
  </si>
  <si>
    <t>Restrict physical access to cardholder data</t>
  </si>
  <si>
    <t>Use appropriate facility entry controls to limit and monitor physical access to systems in the cardholder data environment.</t>
  </si>
  <si>
    <t>Use either video cameras or access control mechanisms (or both) to monitor individual physical access to sensitive areas. Review collected data and correlate with other entries. Store for at least three months, unless otherwise restricted by law. Note: “Sensitive areas” refers to any data center, server room or any area that houses systems that store, process, or transmit cardholder data. This excludes public-facing areas where only point-of-sale terminals are present, such as the cashier areas in a retail store.</t>
  </si>
  <si>
    <t>Implement physical and/or logical controls to restrict access to publicly accessible network jacks. For example, network jacks located in public areas and areas accessible to visitors could be disabled and only enabled when network access is explicitly authorized. Alternatively, processes could be implemented to ensure that visitors are escorted at all times in areas with active network jacks.</t>
  </si>
  <si>
    <t>9.1.3</t>
  </si>
  <si>
    <t>Restrict physical access to wireless access points, gateways, handheld devices, networking/communications hardware, and telecommunication lines.</t>
  </si>
  <si>
    <t>Develop procedures to easily distinguish between onsite personnel and visitors, to include: • Identifying onsite personnel and visitors (for example, assigning badges) • Changes to access requirements • Revoking or terminating onsite personnel and expired visitor identification (such as ID badges).</t>
  </si>
  <si>
    <t>Control physical access for onsite personnel to sensitive areas as follows: • Access must be authorized and based on individual job function. • Access is revoked immediately upon termination, and all physical access mechanisms, such as keys, access cards, etc., are returned or disabled.</t>
  </si>
  <si>
    <t>Implement procedures to identify and authorize visitors. Procedures should include the following:</t>
  </si>
  <si>
    <t>Visitors are authorized before entering, and escorted at all times within, areas where cardholder data is processed or maintained.</t>
  </si>
  <si>
    <t>Visitors are identified and given a badge or other identification that expires and that visibly distinguishes the visitors from onsite personnel.</t>
  </si>
  <si>
    <t>Visitors are asked to surrender the badge or identification before leaving the facility or at the date of expiration.</t>
  </si>
  <si>
    <t>A visitor log is used to maintain a physical audit trail of visitor activity to the facility as well as computer rooms and data centers where cardholder data is stored or transmitted. Document the visitor’s name, the firm represented, and the onsite personnel authorizing physical access on the log. Retain this log for a minimum of three months, unless otherwise restricted by law.</t>
  </si>
  <si>
    <t>Physically secure all media.</t>
  </si>
  <si>
    <t>9.5.1</t>
  </si>
  <si>
    <t>Store media backups in a secure location, preferably an off-site facility, such as an alternate or backup site, or a commercial storage facility. Review the location’s security at least annually.</t>
  </si>
  <si>
    <t>Maintain strict control over the internal or external distribution of any kind of media, including the following:</t>
  </si>
  <si>
    <t>9.6.1</t>
  </si>
  <si>
    <t>Classify media so the sensitivity of the data can be determined.</t>
  </si>
  <si>
    <t>9.6.2</t>
  </si>
  <si>
    <t>Send the media by secured courier or other delivery method that can be accurately tracked.</t>
  </si>
  <si>
    <t>9.6.3</t>
  </si>
  <si>
    <t>Ensure management approves any and all media that is moved from a secured area (including when media is distributed to individuals).</t>
  </si>
  <si>
    <t>Maintain strict control over the storage and accessibility of media.</t>
  </si>
  <si>
    <t>9.7.1</t>
  </si>
  <si>
    <t>Properly maintain inventory logs of all media and conduct media inventories at least annually.</t>
  </si>
  <si>
    <t>Destroy media when it is no longer needed for business or legal reasons as follows:</t>
  </si>
  <si>
    <t>9.8.1</t>
  </si>
  <si>
    <t>Shred, incinerate, or pulp hard-copy materials so that cardholder data cannot be reconstructed. Secure storage containers used for materials that are to be destroyed.</t>
  </si>
  <si>
    <t>9.8.2</t>
  </si>
  <si>
    <t>Render cardholder data on electronic media unrecoverable so that cardholder data cannot be reconstructed.</t>
  </si>
  <si>
    <t>Protect devices that capture payment card data via direct physical interaction with the card from tampering and substitution. Note: These requirements apply to card-reading devices used in card-present transactions (that is, card swipe or dip) at the point of sale. This requirement is not intended to apply to manual key-entry components such as computer keyboards and POS keypads.</t>
  </si>
  <si>
    <t>9.9.1</t>
  </si>
  <si>
    <t>Non-Compliant Responses</t>
  </si>
  <si>
    <t>Maintain an up-to-date list of devices. The list should include the following: • Make, model of device • Location of device (for example, the address of the site or facility where the device is located) • Device serial number or other method of unique identification.</t>
  </si>
  <si>
    <t>9.9.2</t>
  </si>
  <si>
    <t>Periodically inspect device surfaces to detect tampering (for example, addition of card skimmers to devices), or substitution (for example, by checking the serial number or other device characteristics to verify it has not been swapped with a fraudulent device). Note: Examples of signs that a device might have been tampered with or substituted include unexpected attachments or cables plugged into the device, missing or changed security labels, broken or differently colored casing, or changes to the serial number or other external markings.</t>
  </si>
  <si>
    <t>9.9.3</t>
  </si>
  <si>
    <t>Provide training for personnel to be aware of attempted tampering or replacement of devices. Training should include the following: • Verify the identity of any third-party persons claiming to be repair or maintenance personnel, prior to granting them access to modify or troubleshoot devices. • Do not install, replace, or return devices without verification. • Be aware of suspicious behavior around devices (for example, attempts by unknown persons to unplug or open devices). • Report suspicious behavior and indications of device tampering or substitution to appropriate personnel (for example, to a manager or security officer).</t>
  </si>
  <si>
    <t>9.10</t>
  </si>
  <si>
    <t>Ensure that security policies and operational procedures for restricting physical access to cardholder data are documented, in use, and known to all affected parties.</t>
  </si>
  <si>
    <t>10.x</t>
  </si>
  <si>
    <t>Track and monitor all access to network resources and cardholder data</t>
  </si>
  <si>
    <t>Implement audit trails to link all access to system components to each individual user.</t>
  </si>
  <si>
    <t>Implement automated audit trails for all system components to reconstruct the following events:</t>
  </si>
  <si>
    <t>10.2.1</t>
  </si>
  <si>
    <t>All individual user accesses to cardholder data</t>
  </si>
  <si>
    <t>10.2.2</t>
  </si>
  <si>
    <t>All actions taken by any individual with root or administrative privileges</t>
  </si>
  <si>
    <t>10.2.3</t>
  </si>
  <si>
    <t>Access to all audit trails</t>
  </si>
  <si>
    <t>10.2.4</t>
  </si>
  <si>
    <t>Invalid logical access attempts</t>
  </si>
  <si>
    <t>10.2.5</t>
  </si>
  <si>
    <t>Use of and changes to identification and authentication mechanisms—including but not limited to creation of new accounts and elevation of privileges—and all changes, additions, or deletions to accounts with root or administrative privileges</t>
  </si>
  <si>
    <t>10.2.6</t>
  </si>
  <si>
    <t>Initialization, stopping, or pausing of the audit logs</t>
  </si>
  <si>
    <t>10.2.7</t>
  </si>
  <si>
    <t>Creation and deletion of system-level objects</t>
  </si>
  <si>
    <t>Record at least the following audit trail entries for all system components for each event:</t>
  </si>
  <si>
    <t>10.3.1</t>
  </si>
  <si>
    <t>User identification</t>
  </si>
  <si>
    <t>10.3.2</t>
  </si>
  <si>
    <t>Type of event</t>
  </si>
  <si>
    <t>10.3.3</t>
  </si>
  <si>
    <t>Date and time</t>
  </si>
  <si>
    <t>10.3.4</t>
  </si>
  <si>
    <t>Success or failure indication</t>
  </si>
  <si>
    <t>10.3.5</t>
  </si>
  <si>
    <t>Origination of event</t>
  </si>
  <si>
    <t>10.3.6</t>
  </si>
  <si>
    <t>Identity or name of affected data, system component, or resource.</t>
  </si>
  <si>
    <t>Using time-synchronization technology, synchronize all critical system clocks and times and ensure that the following is implemented for acquiring, distributing, and storing time. Note: One example of time synchronization technology is Network Time Protocol (NTP).</t>
  </si>
  <si>
    <t>10.4.1</t>
  </si>
  <si>
    <t>Critical systems have the correct and consistent time.</t>
  </si>
  <si>
    <t>10.4.2</t>
  </si>
  <si>
    <t>Time data is protected.</t>
  </si>
  <si>
    <t>10.4.3</t>
  </si>
  <si>
    <t>Time settings are received from industry-accepted time sources.</t>
  </si>
  <si>
    <t>Secure audit trails so they cannot be altered.</t>
  </si>
  <si>
    <t>10.5.1</t>
  </si>
  <si>
    <t>Limit viewing of audit trails to those with a job-related need.</t>
  </si>
  <si>
    <t>10.5.2</t>
  </si>
  <si>
    <t>Protect audit trail files from unauthorized modifications.</t>
  </si>
  <si>
    <t>10.5.3</t>
  </si>
  <si>
    <t>Promptly back up audit trail files to a centralized log server or media that is difficult to alter.</t>
  </si>
  <si>
    <t>10.5.4</t>
  </si>
  <si>
    <t>Write logs for external-facing technologies onto a secure, centralized, internal log server or media device.</t>
  </si>
  <si>
    <t>10.5.5</t>
  </si>
  <si>
    <t>Use file-integrity monitoring or change-detection software on logs to ensure that existing log data cannot be changed without generating alerts (although new data being added should not cause an alert).</t>
  </si>
  <si>
    <t>Review logs and security events for all system components to identify anomalies or suspicious activity. Note: Log harvesting, parsing, and alerting tools may be used to meet this Requirement.</t>
  </si>
  <si>
    <t>Application Security</t>
  </si>
  <si>
    <t>10.6.1</t>
  </si>
  <si>
    <t>Review the following at least daily: • All security events • Logs of all system components that store, process, or transmit CHD and/or SAD • Logs of all critical system components • Logs of all servers and system components that perform security functions (for example, firewalls, intrusion-detection systems/intrusion-prevention systems (IDS/IPS), authentication servers, e-commerce redirection servers, etc.).</t>
  </si>
  <si>
    <t>10.6.2</t>
  </si>
  <si>
    <t>Review logs of all other system components periodically based on the organization’s policies and risk management strategy, as determined by the organization’s annual risk assessment.</t>
  </si>
  <si>
    <t>10.6.3</t>
  </si>
  <si>
    <t>Follow up exceptions and anomalies identified during the review process.</t>
  </si>
  <si>
    <t>Retain audit trail history for at least one year, with a minimum of three months immediately available for analysis (for example, online, archived, or restorable from backup).</t>
  </si>
  <si>
    <t>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t>
  </si>
  <si>
    <t>10.8.1</t>
  </si>
  <si>
    <t>Additional requirement for service providers only: Respond to failures of any critical security controls in a timely manner. Processes for responding to failures in security controls must include: • Restoring security functions • Identifying and documenting the duration (date and time start to end) of the security failure • Identifying and documenting cause(s) of failure, including root cause, and documenting remediation required to address root cause • Identifying and addressing any security issues that arose during the failure • Performing a risk assessment to determine whether further actions are required as a result of the security failure • Implementing controls to prevent cause of failure from reoccurring • Resuming monitoring of security controls Note: This requirement is a best practice until January 31, 2018, after which it becomes a requirement.</t>
  </si>
  <si>
    <t>Ensure that security policies and operational procedures for monitoring all access to network resources and cardholder data are documented, in use, and known to all affected parties.</t>
  </si>
  <si>
    <t>11.x</t>
  </si>
  <si>
    <t>Regularly test security systems and processes</t>
  </si>
  <si>
    <t>Implement processes to test for the presence of wireless access points (802.11), and detect and identify all authorized and unauthorized wireless access points on a quarterly basis. Note: Methods that may be used in the process include but are not limited to wireless network scans, physical/logical inspections of system components and infrastructure, network access control (NAC), or wireless IDS/IPS. Whichever methods are used, they must be sufficient to detect and identify both authorized and unauthorized devices.</t>
  </si>
  <si>
    <t>Maintain an inventory of authorized wireless access points including a documented business justification.</t>
  </si>
  <si>
    <t>Implement incident response procedures in the event unauthorized wireless access points are detected.</t>
  </si>
  <si>
    <t>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t>
  </si>
  <si>
    <t>Perform quarterly internal vulnerability scans. Address vulnerabilities and perform rescans to verify all “high risk” vulnerabilities are resolved in accordance with the entity’s vulnerability ranking (per Requirement 6.1). Scans must be performed by qualified personnel.</t>
  </si>
  <si>
    <t>Perform quarterly external vulnerability scans, via an Approved Scanning Vendor (ASV) approved by the Payment Card Industry Security Standards Council (PCI SSC). Perform rescans as needed, until passing scans are achieved. Note: Quarterly external vulnerability scans must be performed by an Approved Scanning Vendor (ASV), approved by the Payment Card Industry Security Standards Council (PCI SSC). Refer to the ASV Program Guide published on the PCI SSC website for scan customer responsibilities, scan preparation, etc.</t>
  </si>
  <si>
    <t>Perform internal and external scans, and rescans as needed, after any significant change. Scans must be performed by qualified personnel.</t>
  </si>
  <si>
    <t>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t>
  </si>
  <si>
    <t>11.3.1</t>
  </si>
  <si>
    <t>Perform external penetration testing at least annually and after any significant infrastructure or application upgrade or modification (such as an operating system upgrade, a sub-network added to the environment, or a web server added to the environment).</t>
  </si>
  <si>
    <t>11.3.2</t>
  </si>
  <si>
    <t>Perform internal penetration testing at least annually and after any significant infrastructure or application upgrade or modification (such as an operating system upgrade, a sub-network added to the environment, or a web server added to the environment).</t>
  </si>
  <si>
    <t>11.3.3</t>
  </si>
  <si>
    <t>Exploitable vulnerabilities found during penetration testing are corrected and testing is repeated to verify the corrections.</t>
  </si>
  <si>
    <t>11.3.4</t>
  </si>
  <si>
    <t>If segmentation is used to isolate the CDE from other networks, perform penetration tests at least annually and after any changes to segmentation controls/methods to verify that the segmentation methods are operational and effective, and isolate all out-of-scope systems from systems in the CDE.</t>
  </si>
  <si>
    <t>11.3.4.1</t>
  </si>
  <si>
    <t>Additional requirement for service providers only: If segmentation is used, confirm PCI DSS scope by performing penetration testing on segmentation controls at least every six months and after any changes to segmentation controls/methods. Note: This requirement is a best practice until January 31, 2018, after which it becomes a requirement.</t>
  </si>
  <si>
    <t>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t>
  </si>
  <si>
    <t>Deploy a change-detection mechanism (for example, file-integrity monitoring tools) to alert personnel to unauthorized modification (including changes, additions, and deletions) of critical system files, configuration files, or content files; and configure the software to perform critical file comparisons at least weekly. Note: For change-detection purposes, critical files are usually those that do not regularly change, but the modification of which could indicate a system compromise or risk of compromise. Change-detection mechanisms such as file-integrity monitoring products usually come pre-configured with critical files for the related operating system. Other critical files, such as those for custom applications, must be evaluated and defined by the entity (that is, the merchant or service provider).</t>
  </si>
  <si>
    <t>11.5.1</t>
  </si>
  <si>
    <t>Implement a process to respond to any alerts generated by the change-detection solution.</t>
  </si>
  <si>
    <t>Ensure that security policies and operational procedures for security monitoring and testing are documented, in use, and known to all affected parties.</t>
  </si>
  <si>
    <t>Maintain a policy that addresses information security for all personnel</t>
  </si>
  <si>
    <t>Establish, publish, maintain, and disseminate a security policy.</t>
  </si>
  <si>
    <t>Review the security policy at least annually and update the policy when the environment changes.</t>
  </si>
  <si>
    <t>Implement a risk-assessment process that: • Is performed at least annually and upon significant changes to the environment (for example, acquisition, merger, relocation, etc.), • Identifies critical assets, threats, and vulnerabilities, and • Results in a formal, documented analysis of risk. Examples of risk-assessment methodologies include but are not limited to OCTAVE, ISO 27005 and NIST SP 800-30.</t>
  </si>
  <si>
    <t>Develop usage policies for critical technologies and define proper use of these technologies. Note: Examples of critical technologies include, but are not limited to, remote access and wireless technologies, laptops, tablets, removable electronic media, e-mail usage and Internet usage. Ensure these usage policies require the following:</t>
  </si>
  <si>
    <t>Explicit approval by authorized parties</t>
  </si>
  <si>
    <t>12.3.2</t>
  </si>
  <si>
    <t>Authentication for use of the technology</t>
  </si>
  <si>
    <t>12.3.3</t>
  </si>
  <si>
    <t>A list of all such devices and personnel with access</t>
  </si>
  <si>
    <t>12.3.4</t>
  </si>
  <si>
    <t>A method to accurately and readily determine owner, contact information, and purpose (for example, labeling, coding, and/or inventorying of devices)</t>
  </si>
  <si>
    <t>12.3.5</t>
  </si>
  <si>
    <t>Acceptable uses of the technology</t>
  </si>
  <si>
    <t>12.3.6</t>
  </si>
  <si>
    <t>Acceptable network locations for the technologies</t>
  </si>
  <si>
    <t>12.3.7</t>
  </si>
  <si>
    <t>List of company-approved products</t>
  </si>
  <si>
    <t>12.3.8</t>
  </si>
  <si>
    <t>Automatic disconnect of sessions for remote-access technologies after a specific period of inactivity</t>
  </si>
  <si>
    <t>12.3.9</t>
  </si>
  <si>
    <t>Activation of remote-access technologies for vendors and business partners only when needed by vendors and business partners, with immediate deactivation after use</t>
  </si>
  <si>
    <t>12.3.10</t>
  </si>
  <si>
    <t>For personnel accessing cardholder data via remote-access technologies, prohibit the copying, moving, and storage of cardholder data onto local hard drives and removable electronic media, unless explicitly authorized for a defined business need. Where there is an authorized business need, the usage policies must require the data be protected in accordance with all applicable PCI DSS Requirements.</t>
  </si>
  <si>
    <t>Ensure that the security policy and procedures clearly define information security responsibilities for all personnel.</t>
  </si>
  <si>
    <t>Additional requirement for service providers only: Executive management shall establish responsibility for the protection of cardholder data and a PCI DSS compliance program to include: • Overall accountability for maintaining PCI DSS compliance • Defining a charter for a PCI DSS compliance program and communication to executive management Note: This requirement is a best practice until January 31, 2018, after which it becomes a requirement.</t>
  </si>
  <si>
    <t>Assign to an individual or team the following information security management responsibilities:</t>
  </si>
  <si>
    <t>Establish, document, and distribute security policies and procedures.</t>
  </si>
  <si>
    <t>12.5.2</t>
  </si>
  <si>
    <t>Monitor and analyze security alerts and information, and distribute to appropriate personnel.</t>
  </si>
  <si>
    <t>12.5.3</t>
  </si>
  <si>
    <t>Establish, document, and distribute security incident response and escalation procedures to ensure timely and effective handling of all situations.</t>
  </si>
  <si>
    <t>12.5.4</t>
  </si>
  <si>
    <t>Administer user accounts, including additions, deletions, and modifications.</t>
  </si>
  <si>
    <t>12.5.5</t>
  </si>
  <si>
    <t>Monitor and control all access to data.</t>
  </si>
  <si>
    <t>Implement a formal security awareness program to make all personnel aware of the cardholder data security policy and procedures.</t>
  </si>
  <si>
    <t>Educate personnel upon hire and at least annually. Note: Methods can vary depending on the role of the personnel and their level of access to the cardholder data.</t>
  </si>
  <si>
    <t>Require personnel to acknowledge at least annually that they have read and understood the security policy and procedures.</t>
  </si>
  <si>
    <t>Screen potential personnel prior to hire to minimize the risk of attacks from internal sources. (Examples of background checks include previous employment history, criminal record, credit history, and reference checks.) Note: For those potential personnel to be hired for certain positions such as store cashiers who only have access to one card number at a time when facilitating a transaction, this requirement is a recommendation only.</t>
  </si>
  <si>
    <t>Maintain and implement policies and procedures to manage service providers, with whom cardholder data is shared, or that could affect the security of cardholder data, as follows</t>
  </si>
  <si>
    <t>12.8.1</t>
  </si>
  <si>
    <t>Maintain a list of service providers including a description of the service provided.</t>
  </si>
  <si>
    <t>12.8.2</t>
  </si>
  <si>
    <t>Maintain a written agreement that includes an acknowledgement that the service providers are responsible for the security of cardholder data the service providers possess or otherwise store, process or transmit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</si>
  <si>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12.8.3</t>
  </si>
  <si>
    <t>Ensure there is an established process for engaging service providers including proper due diligence prior to engagement.</t>
  </si>
  <si>
    <t>12.8.4</t>
  </si>
  <si>
    <t>Maintain a program to monitor service providers’ PCI DSS compliance status at least annually.</t>
  </si>
  <si>
    <t>12.8.5</t>
  </si>
  <si>
    <t>Maintain information about which PCI DSS requirements are managed by each service provider, and which are managed by the entity.</t>
  </si>
  <si>
    <t>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</si>
  <si>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12.10</t>
  </si>
  <si>
    <t>Implement an incident response plan. Be prepared to respond immediately to a system breach.</t>
  </si>
  <si>
    <t>12.10.1</t>
  </si>
  <si>
    <t>Create the incident response plan to be implemented in the event of system breach. Ensure the plan addresses the following, at a minimum: • Roles, responsibilities, and communication and contact strategies in the event of a compromise including notification of the payment brands, at a minimum • Specific incident response procedures • Business recovery and continuity procedures • Data backup processes • Analysis of legal requirements for reporting compromises • Coverage and responses of all critical system components • Reference or inclusion of incident response procedures from the payment brands.</t>
  </si>
  <si>
    <t>12.10.2</t>
  </si>
  <si>
    <t>Review and test the plan, including all elements listed in Requirement 12.10.1, at least annually.</t>
  </si>
  <si>
    <t>12.10.3</t>
  </si>
  <si>
    <t>Designate specific personnel to be available on a 24/7 basis to respond to alerts.</t>
  </si>
  <si>
    <t>12.10.4</t>
  </si>
  <si>
    <t>Provide appropriate training to staff with security breach response responsibilities.</t>
  </si>
  <si>
    <t>12.10.5</t>
  </si>
  <si>
    <t>Include alerts from security monitoring systems, including but not limited to intrusion-detection, intrusion-prevention, firewalls, and file-integrity monitoring systems.</t>
  </si>
  <si>
    <t>12.10.6</t>
  </si>
  <si>
    <t>Develop a process to modify and evolve the incident response plan according to lessons learned and to incorporate industry developments.</t>
  </si>
  <si>
    <t>Additional requirement for service providers only: Perform reviews at least quarterly to confirm personnel are following security policies and operational procedures. Reviews must cover the following processes: • Daily log reviews • Firewall rule-set reviews • Applying configuration standards to new systems • Responding to security alerts • Change management processes Note: This requirement is a best practice until January 31, 2018, after which it becomes a requirement.</t>
  </si>
  <si>
    <t>12.11.1</t>
  </si>
  <si>
    <t>Additional requirement for service providers only: Maintain documentation of quarterly review process to include: • Documenting results of the reviews • Review and sign off of results by personnel assigned responsibility for the PCI DSS compliance program Note: This requirement is a best practice until January 31, 2018, after which it becomes a requirement.</t>
  </si>
  <si>
    <t>All system components included in or connected to the cardholder data environment (CDE)</t>
  </si>
  <si>
    <t>The process of determining the CDE and subsequent PCI scope</t>
  </si>
  <si>
    <t>Authentication, Authorization, and Accounting</t>
  </si>
  <si>
    <t>12.7, 4.2</t>
  </si>
  <si>
    <t>8.x, 4.2</t>
  </si>
  <si>
    <t>Change Management</t>
  </si>
  <si>
    <t>Company</t>
  </si>
  <si>
    <t>7.x, 8.x, 9.x</t>
  </si>
  <si>
    <t>12.1, 5.4</t>
  </si>
  <si>
    <t>Data</t>
  </si>
  <si>
    <t>Database</t>
  </si>
  <si>
    <t>Datacenter</t>
  </si>
  <si>
    <t>Firewalls, IDS, IPS, and Networking</t>
  </si>
  <si>
    <t>Physical Security</t>
  </si>
  <si>
    <t>Policies, Procedures, and Processes</t>
  </si>
  <si>
    <t>Systems Management &amp; Configuration</t>
  </si>
  <si>
    <t>Vulnerability Scanning</t>
  </si>
  <si>
    <t>Third-Parties</t>
  </si>
  <si>
    <t>Consulting</t>
  </si>
  <si>
    <t>Ave Percent</t>
  </si>
  <si>
    <t>Total Points</t>
  </si>
  <si>
    <t>Application/Service Security</t>
  </si>
  <si>
    <t>Are there any OS and/or web-browser combinations that are not currently supported?</t>
  </si>
  <si>
    <t>Does your application and/or user-frontend/portal support multi-factor authentication? (e.g. Duo, Google Authenticator, OTP, etc.)</t>
  </si>
  <si>
    <t>Does your application support integration with other authentication and authorization systems?  List which ones (such as Active Directory, Kerberos and what version) in Additional Info?</t>
  </si>
  <si>
    <t>Does the system (servers/infrastructure) support external authentication services (e.g. Active Directory, LDAP) in place of local authentication?</t>
  </si>
  <si>
    <t>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t>
  </si>
  <si>
    <t>Does your organization ensure through policy and procedure (that is currently implemented) that only application software verifiable as authorized, tested, and approved for production, and having met all other requirements and reviews necessary for commissioning, is placed into production?</t>
  </si>
  <si>
    <t>Are your applications scanned externally for vulnerabilities?</t>
  </si>
  <si>
    <t>Are your systems scanned externally for vulnerabilities?</t>
  </si>
  <si>
    <t>Business Continuity Plan</t>
  </si>
  <si>
    <t>Higher Education Cloud Vendor Assessment Tool - Change Log</t>
  </si>
  <si>
    <t>Version</t>
  </si>
  <si>
    <t>Description of Change</t>
  </si>
  <si>
    <t>v0.6</t>
  </si>
  <si>
    <t xml:space="preserve">Merged initial comments and suggestions of sub-group members. </t>
  </si>
  <si>
    <t>v0.7</t>
  </si>
  <si>
    <t>Completed base formulas for all Guidance fields. Changed Qualifer formatting to make questions readable (and optional).</t>
  </si>
  <si>
    <t>v0.8</t>
  </si>
  <si>
    <t>Added SOC2T2 question to datacenter section.</t>
  </si>
  <si>
    <t>v0.9</t>
  </si>
  <si>
    <t>Added Systems and Configuration Management section, added MDM, sep. management networks, system configuration images, Internal audit processes and procedures.</t>
  </si>
  <si>
    <t>v0.91</t>
  </si>
  <si>
    <t>Added input from WG meeting on 8/22, removed RiskMgmt section, added question ID's, and removed dup network question.</t>
  </si>
  <si>
    <t>v0.92</t>
  </si>
  <si>
    <t>Added Introduction, Sharing Read Me, and Acknowledgements tabs and content. Also updated report specifics in Documentation.</t>
  </si>
  <si>
    <t>v0.93</t>
  </si>
  <si>
    <t>Integrated grammatical corrections set by Karl, fixed a minor formula error in a guidance cell.</t>
  </si>
  <si>
    <t>v0.94</t>
  </si>
  <si>
    <t>Added Instructions tab, adjusted question ID background color, updated DRP/BCP copy error.</t>
  </si>
  <si>
    <t>v0.95</t>
  </si>
  <si>
    <t>Changed document title to HECVAT. Integrated KDH input.</t>
  </si>
  <si>
    <t>v0.96</t>
  </si>
  <si>
    <t>Added input from NL, 36 modifications across all sections.</t>
  </si>
  <si>
    <t>v0.97</t>
  </si>
  <si>
    <t>Updated Sharing Read Me tab with final language and options table.</t>
  </si>
  <si>
    <t>v0.98</t>
  </si>
  <si>
    <t>Sharing Confirmation section added, updated instructions, updated Sharing Read Me tab, fixed a ton of conditional formatting issues.</t>
  </si>
  <si>
    <t>v1.00</t>
  </si>
  <si>
    <t>Finalized for distribution.</t>
  </si>
  <si>
    <t>v1.01</t>
  </si>
  <si>
    <t>Corrections for grammar, conditional formatting, and question clarification.</t>
  </si>
  <si>
    <t>v1.02</t>
  </si>
  <si>
    <t>Added tertiary services narrative question (DNS, ISP, etc…).</t>
  </si>
  <si>
    <t>v1.03</t>
  </si>
  <si>
    <t>Grammar and spelling cleanup.</t>
  </si>
  <si>
    <t>v1.04</t>
  </si>
  <si>
    <t>Minor layout change in preparation for HECVAT-Lite split</t>
  </si>
  <si>
    <t>v1.05</t>
  </si>
  <si>
    <t>Changed University mentions to Institution; final version before SPC 2017</t>
  </si>
  <si>
    <t>v1.06</t>
  </si>
  <si>
    <t>Added standards crosswalk and Cloud Broker Index (CBI) information</t>
  </si>
  <si>
    <t>v2.00</t>
  </si>
  <si>
    <t>Major revision. Visit https://www.educause.edu/hecvat for details.</t>
  </si>
  <si>
    <t>Campus</t>
  </si>
  <si>
    <t>Answers</t>
  </si>
  <si>
    <t>N/A</t>
  </si>
  <si>
    <t>DRPTestingSchedule</t>
  </si>
  <si>
    <t>Quarterly</t>
  </si>
  <si>
    <t>Semi-annually</t>
  </si>
  <si>
    <t>Annually</t>
  </si>
  <si>
    <t>NetworkTypes</t>
  </si>
  <si>
    <t>Exclusive VLAN</t>
  </si>
  <si>
    <t>Shared VLAN</t>
  </si>
  <si>
    <t>Physically Separate</t>
  </si>
  <si>
    <t>Flat Shared Network</t>
  </si>
  <si>
    <t>DR Types</t>
  </si>
  <si>
    <t>Cold</t>
  </si>
  <si>
    <t>Hot</t>
  </si>
  <si>
    <t>SharedAssessmentsConfirmation</t>
  </si>
  <si>
    <t>Yes; OK to Share</t>
  </si>
  <si>
    <t>No; Sharing Disallowed</t>
  </si>
  <si>
    <t>SharedAssessmentListingConfirmation</t>
  </si>
  <si>
    <t>Yes; OK to List</t>
  </si>
  <si>
    <t>No; Listing Disallowed</t>
  </si>
  <si>
    <t>UptimeTiers</t>
  </si>
  <si>
    <t>Tier I</t>
  </si>
  <si>
    <t>Tier II</t>
  </si>
  <si>
    <t>Tier III</t>
  </si>
  <si>
    <t>Disaster Recovery Plan</t>
  </si>
  <si>
    <t>DRPL-14</t>
  </si>
  <si>
    <t>Mobile Applications</t>
  </si>
  <si>
    <t>Product Evaluation</t>
  </si>
  <si>
    <t>Quality Assurance</t>
  </si>
  <si>
    <t>HIPA-32</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</si>
</sst>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d/yyyy"/>
    <numFmt numFmtId="165" formatCode="0;;"/>
  </numFmts>
  <fonts count="37">
    <font>
      <sz val="12.0"/>
      <color rgb="FF000000"/>
      <name val="Verdana"/>
    </font>
    <font>
      <b/>
      <sz val="20.0"/>
      <color rgb="FFFFFFFF"/>
      <name val="Verdana"/>
    </font>
    <font/>
    <font>
      <sz val="10.0"/>
      <color rgb="FF000000"/>
      <name val="Arial"/>
    </font>
    <font>
      <b/>
      <sz val="12.0"/>
      <color rgb="FFFFFFFF"/>
      <name val="Verdana"/>
    </font>
    <font>
      <b/>
      <sz val="14.0"/>
      <color rgb="FF000000"/>
      <name val="Verdana"/>
    </font>
    <font>
      <sz val="11.0"/>
      <color rgb="FF000000"/>
      <name val="Verdana"/>
    </font>
    <font>
      <b/>
      <sz val="14.0"/>
      <name val="Verdana"/>
    </font>
    <font>
      <b/>
      <sz val="12.0"/>
      <color rgb="FF000000"/>
      <name val="Verdana"/>
    </font>
    <font>
      <i/>
      <sz val="12.0"/>
      <color rgb="FF000000"/>
      <name val="Verdana"/>
    </font>
    <font>
      <b/>
      <sz val="14.0"/>
      <color rgb="FFFFFFFF"/>
      <name val="Verdana"/>
    </font>
    <font>
      <b/>
      <sz val="14.0"/>
      <color rgb="FFFF0000"/>
      <name val="Verdana"/>
    </font>
    <font>
      <b/>
      <sz val="11.0"/>
      <color rgb="FF000000"/>
      <name val="Verdana"/>
    </font>
    <font>
      <sz val="12.0"/>
      <color rgb="FFFFFFFF"/>
      <name val="Verdana"/>
    </font>
    <font>
      <i/>
      <sz val="11.0"/>
      <color rgb="FF000000"/>
      <name val="Verdana"/>
    </font>
    <font>
      <b/>
      <sz val="11.0"/>
      <color rgb="FFC00000"/>
      <name val="Verdana"/>
    </font>
    <font>
      <i/>
      <u/>
      <sz val="11.0"/>
      <color rgb="FF000000"/>
      <name val="Verdana"/>
    </font>
    <font>
      <b/>
      <sz val="14.0"/>
      <color rgb="FFBFBFBF"/>
      <name val="Verdana"/>
    </font>
    <font>
      <b/>
      <sz val="11.0"/>
      <color rgb="FFFF0000"/>
      <name val="Verdana"/>
    </font>
    <font>
      <sz val="11.0"/>
      <color rgb="FFFF0000"/>
      <name val="Verdana"/>
    </font>
    <font>
      <sz val="11.0"/>
      <color rgb="FFFFFFFF"/>
      <name val="Verdana"/>
    </font>
    <font>
      <sz val="12.0"/>
      <name val="Verdana"/>
    </font>
    <font>
      <u/>
      <sz val="11.0"/>
      <color rgb="FF000000"/>
      <name val="Verdana"/>
    </font>
    <font>
      <u/>
      <sz val="11.0"/>
      <color rgb="FF000000"/>
      <name val="Verdana"/>
    </font>
    <font>
      <sz val="12.0"/>
      <color rgb="FFFF0000"/>
      <name val="Verdana"/>
    </font>
    <font>
      <u/>
      <sz val="12.0"/>
      <color rgb="FF000000"/>
      <name val="Verdana"/>
    </font>
    <font>
      <sz val="12.0"/>
      <color rgb="FF000000"/>
      <name val="Helvetica Neue"/>
    </font>
    <font>
      <sz val="10.0"/>
      <color rgb="FF000000"/>
      <name val="Helvetica Neue"/>
    </font>
    <font>
      <sz val="10.0"/>
      <color rgb="FF231F20"/>
      <name val="Helvetica Neue"/>
    </font>
    <font>
      <sz val="11.0"/>
      <name val="Verdana"/>
    </font>
    <font>
      <b/>
      <sz val="16.0"/>
      <color rgb="FF000000"/>
      <name val="Verdana"/>
    </font>
    <font>
      <sz val="11.0"/>
      <color rgb="FF000000"/>
      <name val="Arial"/>
    </font>
    <font>
      <sz val="9.0"/>
      <color rgb="FF000000"/>
      <name val="Verdana"/>
    </font>
    <font>
      <u/>
      <sz val="11.0"/>
      <color rgb="FF000000"/>
      <name val="Verdana"/>
    </font>
    <font>
      <u/>
      <color rgb="FF0000FF"/>
    </font>
    <font>
      <u/>
      <sz val="11.0"/>
      <color rgb="FF000000"/>
      <name val="Verdana"/>
    </font>
    <font>
      <u/>
      <sz val="11.0"/>
      <color rgb="FF000000"/>
      <name val="Verdana"/>
    </font>
  </fonts>
  <fills count="16">
    <fill>
      <patternFill patternType="none"/>
    </fill>
    <fill>
      <patternFill patternType="lightGray"/>
    </fill>
    <fill>
      <patternFill patternType="solid">
        <fgColor rgb="FFC00000"/>
        <bgColor rgb="FFC00000"/>
      </patternFill>
    </fill>
    <fill>
      <patternFill patternType="solid">
        <fgColor rgb="FF000000"/>
        <bgColor rgb="FF000000"/>
      </patternFill>
    </fill>
    <fill>
      <patternFill patternType="solid">
        <fgColor rgb="FFF2F2F2"/>
        <bgColor rgb="FFF2F2F2"/>
      </patternFill>
    </fill>
    <fill>
      <patternFill patternType="solid">
        <fgColor rgb="FFFFFFFF"/>
        <bgColor rgb="FFFFFFFF"/>
      </patternFill>
    </fill>
    <fill>
      <patternFill patternType="solid">
        <fgColor rgb="FFD8D8D8"/>
        <bgColor rgb="FFD8D8D8"/>
      </patternFill>
    </fill>
    <fill>
      <patternFill patternType="solid">
        <fgColor rgb="FF3F3F3F"/>
        <bgColor rgb="FF3F3F3F"/>
      </patternFill>
    </fill>
    <fill>
      <patternFill patternType="solid">
        <fgColor rgb="FFFBE4D5"/>
        <bgColor rgb="FFFBE4D5"/>
      </patternFill>
    </fill>
    <fill>
      <patternFill patternType="solid">
        <fgColor rgb="FF7030A0"/>
        <bgColor rgb="FF7030A0"/>
      </patternFill>
    </fill>
    <fill>
      <patternFill patternType="solid">
        <fgColor rgb="FFFAF9F9"/>
        <bgColor rgb="FFFAF9F9"/>
      </patternFill>
    </fill>
    <fill>
      <patternFill patternType="solid">
        <fgColor rgb="FF00B050"/>
        <bgColor rgb="FF00B050"/>
      </patternFill>
    </fill>
    <fill>
      <patternFill patternType="solid">
        <fgColor rgb="FFF3F1FF"/>
        <bgColor rgb="FFF3F1FF"/>
      </patternFill>
    </fill>
    <fill>
      <patternFill patternType="solid">
        <fgColor rgb="FFF3F4F4"/>
        <bgColor rgb="FFF3F4F4"/>
      </patternFill>
    </fill>
    <fill>
      <patternFill patternType="solid">
        <fgColor rgb="FF0070C0"/>
        <bgColor rgb="FF0070C0"/>
      </patternFill>
    </fill>
    <fill>
      <patternFill patternType="solid">
        <fgColor rgb="FFD9D9D9"/>
        <bgColor rgb="FFD9D9D9"/>
      </patternFill>
    </fill>
  </fills>
  <borders count="2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left/>
      <right/>
      <top/>
      <bottom/>
    </border>
    <border>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bottom style="thin">
        <color rgb="FF000000"/>
      </bottom>
    </border>
    <border>
      <left style="thin">
        <color rgb="FF7F7F7F"/>
      </left>
      <right style="thin">
        <color rgb="FF7F7F7F"/>
      </right>
      <top style="thin">
        <color rgb="FF7F7F7F"/>
      </top>
      <bottom style="thin">
        <color rgb="FF7F7F7F"/>
      </bottom>
    </border>
    <border>
      <left style="thin">
        <color rgb="FF231F20"/>
      </left>
      <right style="thin">
        <color rgb="FF231F20"/>
      </right>
      <top style="thin">
        <color rgb="FF231F20"/>
      </top>
      <bottom style="thin">
        <color rgb="FF231F20"/>
      </bottom>
    </border>
    <border>
      <top style="thin">
        <color rgb="FF000000"/>
      </top>
    </border>
    <border>
      <left style="medium">
        <color rgb="FFCCCCCC"/>
      </left>
      <right style="medium">
        <color rgb="FFCCCCCC"/>
      </right>
      <top style="medium">
        <color rgb="FFCCCCCC"/>
      </top>
      <bottom style="medium">
        <color rgb="FFCCCCCC"/>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bottom style="medium">
        <color rgb="FF000000"/>
      </bottom>
    </border>
    <border>
      <left style="medium">
        <color rgb="FFCCCCCC"/>
      </left>
      <right style="medium">
        <color rgb="FFCCCCCC"/>
      </right>
      <top style="medium">
        <color rgb="FFCCCCCC"/>
      </top>
    </border>
    <border>
      <left style="medium">
        <color rgb="FFCCCCCC"/>
      </left>
      <right style="medium">
        <color rgb="FFCCCCCC"/>
      </right>
      <top style="medium">
        <color rgb="FFCCCCCC"/>
      </top>
      <bottom/>
    </border>
  </borders>
  <cellStyleXfs count="1">
    <xf borderId="0" fillId="0" fontId="0" numFmtId="0" applyAlignment="1" applyFont="1"/>
  </cellStyleXfs>
  <cellXfs count="232">
    <xf borderId="0" fillId="0" fontId="0" numFmtId="0" xfId="0" applyAlignment="1" applyFont="1">
      <alignment readingOrder="0" shrinkToFit="0" vertical="top" wrapText="1"/>
    </xf>
    <xf borderId="1" fillId="2" fontId="1" numFmtId="0" xfId="0" applyAlignment="1" applyBorder="1" applyFill="1" applyFont="1">
      <alignment horizontal="left" shrinkToFit="0" vertical="center" wrapText="1"/>
    </xf>
    <xf borderId="2" fillId="0" fontId="2" numFmtId="0" xfId="0" applyAlignment="1" applyBorder="1" applyFont="1">
      <alignment shrinkToFit="0" vertical="top" wrapText="1"/>
    </xf>
    <xf borderId="3" fillId="0" fontId="2" numFmtId="0" xfId="0" applyAlignment="1" applyBorder="1" applyFont="1">
      <alignment shrinkToFit="0" vertical="top" wrapText="1"/>
    </xf>
    <xf borderId="4" fillId="0" fontId="3" numFmtId="0" xfId="0" applyAlignment="1" applyBorder="1" applyFont="1">
      <alignment horizontal="left" shrinkToFit="0" vertical="bottom" wrapText="0"/>
    </xf>
    <xf borderId="5" fillId="0" fontId="2" numFmtId="0" xfId="0" applyAlignment="1" applyBorder="1" applyFont="1">
      <alignment shrinkToFit="0" vertical="top" wrapText="1"/>
    </xf>
    <xf borderId="1" fillId="3" fontId="1" numFmtId="0" xfId="0" applyAlignment="1" applyBorder="1" applyFill="1" applyFont="1">
      <alignment horizontal="left" shrinkToFit="0" vertical="center" wrapText="1"/>
    </xf>
    <xf borderId="6" fillId="2" fontId="4" numFmtId="0" xfId="0" applyAlignment="1" applyBorder="1" applyFont="1">
      <alignment horizontal="center" shrinkToFit="0" vertical="center" wrapText="1"/>
    </xf>
    <xf borderId="1" fillId="4" fontId="5" numFmtId="0" xfId="0" applyAlignment="1" applyBorder="1" applyFill="1" applyFont="1">
      <alignment horizontal="left" shrinkToFit="0" vertical="center" wrapText="1"/>
    </xf>
    <xf borderId="0" fillId="0" fontId="6" numFmtId="0" xfId="0" applyAlignment="1" applyFont="1">
      <alignment shrinkToFit="0" vertical="bottom" wrapText="0"/>
    </xf>
    <xf borderId="0" fillId="0" fontId="7" numFmtId="0" xfId="0" applyAlignment="1" applyFont="1">
      <alignment shrinkToFit="0" vertical="center" wrapText="1"/>
    </xf>
    <xf borderId="0" fillId="0" fontId="3" numFmtId="0" xfId="0" applyAlignment="1" applyFont="1">
      <alignment shrinkToFit="0" vertical="bottom" wrapText="0"/>
    </xf>
    <xf borderId="6" fillId="0" fontId="6" numFmtId="0" xfId="0" applyAlignment="1" applyBorder="1" applyFont="1">
      <alignment shrinkToFit="0" vertical="center" wrapText="1"/>
    </xf>
    <xf borderId="7" fillId="0" fontId="3" numFmtId="0" xfId="0" applyAlignment="1" applyBorder="1" applyFont="1">
      <alignment shrinkToFit="0" vertical="bottom" wrapText="0"/>
    </xf>
    <xf borderId="6" fillId="4" fontId="8" numFmtId="0" xfId="0" applyAlignment="1" applyBorder="1" applyFont="1">
      <alignment shrinkToFit="0" vertical="center" wrapText="1"/>
    </xf>
    <xf borderId="8" fillId="0" fontId="3" numFmtId="0" xfId="0" applyAlignment="1" applyBorder="1" applyFont="1">
      <alignment shrinkToFit="0" vertical="bottom" wrapText="0"/>
    </xf>
    <xf borderId="1" fillId="5" fontId="9" numFmtId="164" xfId="0" applyAlignment="1" applyBorder="1" applyFill="1" applyFont="1" applyNumberFormat="1">
      <alignment horizontal="left" shrinkToFit="0" vertical="center" wrapText="1"/>
    </xf>
    <xf borderId="1" fillId="3" fontId="4" numFmtId="0" xfId="0" applyAlignment="1" applyBorder="1" applyFont="1">
      <alignment horizontal="left" shrinkToFit="0" vertical="center" wrapText="1"/>
    </xf>
    <xf borderId="1" fillId="3" fontId="10" numFmtId="0" xfId="0" applyAlignment="1" applyBorder="1" applyFont="1">
      <alignment horizontal="left" shrinkToFit="0" vertical="center" wrapText="1"/>
    </xf>
    <xf borderId="0" fillId="0" fontId="0" numFmtId="0" xfId="0" applyAlignment="1" applyFont="1">
      <alignment shrinkToFit="0" vertical="center" wrapText="1"/>
    </xf>
    <xf borderId="6" fillId="3" fontId="10" numFmtId="0" xfId="0" applyAlignment="1" applyBorder="1" applyFont="1">
      <alignment horizontal="center" shrinkToFit="0" vertical="center" wrapText="1"/>
    </xf>
    <xf borderId="6" fillId="3" fontId="10" numFmtId="1" xfId="0" applyAlignment="1" applyBorder="1" applyFont="1" applyNumberFormat="1">
      <alignment horizontal="left" shrinkToFit="0" vertical="center" wrapText="1"/>
    </xf>
    <xf borderId="1" fillId="0" fontId="6" numFmtId="0" xfId="0" applyAlignment="1" applyBorder="1" applyFont="1">
      <alignment horizontal="left" shrinkToFit="0" vertical="center" wrapText="1"/>
    </xf>
    <xf borderId="6" fillId="3" fontId="11" numFmtId="1" xfId="0" applyAlignment="1" applyBorder="1" applyFont="1" applyNumberFormat="1">
      <alignment horizontal="left" shrinkToFit="0" vertical="center" wrapText="1"/>
    </xf>
    <xf borderId="1" fillId="6" fontId="0" numFmtId="0" xfId="0" applyAlignment="1" applyBorder="1" applyFill="1" applyFont="1">
      <alignment horizontal="left" shrinkToFit="0" vertical="center" wrapText="1"/>
    </xf>
    <xf borderId="6" fillId="0" fontId="12" numFmtId="0" xfId="0" applyAlignment="1" applyBorder="1" applyFont="1">
      <alignment horizontal="left" shrinkToFit="0" vertical="center" wrapText="1"/>
    </xf>
    <xf borderId="1" fillId="7" fontId="13" numFmtId="0" xfId="0" applyAlignment="1" applyBorder="1" applyFill="1" applyFont="1">
      <alignment horizontal="left" shrinkToFit="0" vertical="center" wrapText="1"/>
    </xf>
    <xf borderId="6" fillId="4" fontId="6" numFmtId="0" xfId="0" applyAlignment="1" applyBorder="1" applyFont="1">
      <alignment shrinkToFit="0" vertical="center" wrapText="1"/>
    </xf>
    <xf borderId="6" fillId="4" fontId="6" numFmtId="0" xfId="0" applyAlignment="1" applyBorder="1" applyFont="1">
      <alignment horizontal="left" shrinkToFit="0" vertical="center" wrapText="1"/>
    </xf>
    <xf borderId="1" fillId="0" fontId="12" numFmtId="0" xfId="0" applyAlignment="1" applyBorder="1" applyFont="1">
      <alignment horizontal="left" shrinkToFit="0" vertical="top" wrapText="1"/>
    </xf>
    <xf borderId="1" fillId="0" fontId="14" numFmtId="0" xfId="0" applyAlignment="1" applyBorder="1" applyFont="1">
      <alignment horizontal="left" readingOrder="0" shrinkToFit="0" vertical="center" wrapText="1"/>
    </xf>
    <xf borderId="6" fillId="0" fontId="15" numFmtId="0" xfId="0" applyAlignment="1" applyBorder="1" applyFont="1">
      <alignment shrinkToFit="0" vertical="center" wrapText="1"/>
    </xf>
    <xf borderId="0" fillId="0" fontId="0" numFmtId="0" xfId="0" applyAlignment="1" applyFont="1">
      <alignment shrinkToFit="0" vertical="top" wrapText="1"/>
    </xf>
    <xf borderId="9" fillId="0" fontId="3" numFmtId="0" xfId="0" applyAlignment="1" applyBorder="1" applyFont="1">
      <alignment shrinkToFit="0" vertical="bottom" wrapText="0"/>
    </xf>
    <xf borderId="10" fillId="0" fontId="3" numFmtId="0" xfId="0" applyAlignment="1" applyBorder="1" applyFont="1">
      <alignment shrinkToFit="0" vertical="bottom" wrapText="0"/>
    </xf>
    <xf borderId="1" fillId="0" fontId="16" numFmtId="0" xfId="0" applyAlignment="1" applyBorder="1" applyFont="1">
      <alignment horizontal="left" readingOrder="0" shrinkToFit="0" vertical="center" wrapText="1"/>
    </xf>
    <xf borderId="6" fillId="0" fontId="6" numFmtId="0" xfId="0" applyAlignment="1" applyBorder="1" applyFont="1">
      <alignment horizontal="left" shrinkToFit="0" vertical="center" wrapText="1"/>
    </xf>
    <xf borderId="1" fillId="8" fontId="5" numFmtId="0" xfId="0" applyAlignment="1" applyBorder="1" applyFill="1" applyFont="1">
      <alignment horizontal="left" shrinkToFit="0" vertical="center" wrapText="1"/>
    </xf>
    <xf borderId="2" fillId="0" fontId="6" numFmtId="0" xfId="0" applyAlignment="1" applyBorder="1" applyFont="1">
      <alignment shrinkToFit="0" vertical="center" wrapText="1"/>
    </xf>
    <xf borderId="1" fillId="0" fontId="14" numFmtId="0" xfId="0" applyAlignment="1" applyBorder="1" applyFont="1">
      <alignment horizontal="left" shrinkToFit="0" vertical="center" wrapText="1"/>
    </xf>
    <xf borderId="1" fillId="2" fontId="4" numFmtId="0" xfId="0" applyAlignment="1" applyBorder="1" applyFont="1">
      <alignment horizontal="left" shrinkToFit="0" vertical="center" wrapText="1"/>
    </xf>
    <xf borderId="0" fillId="0" fontId="0" numFmtId="0" xfId="0" applyAlignment="1" applyFont="1">
      <alignment horizontal="center" shrinkToFit="0" vertical="center" wrapText="1"/>
    </xf>
    <xf borderId="0" fillId="0" fontId="6" numFmtId="0" xfId="0" applyAlignment="1" applyFont="1">
      <alignment shrinkToFit="0" vertical="center" wrapText="1"/>
    </xf>
    <xf borderId="1" fillId="4" fontId="14" numFmtId="0" xfId="0" applyAlignment="1" applyBorder="1" applyFont="1">
      <alignment horizontal="left" shrinkToFit="0" vertical="center" wrapText="1"/>
    </xf>
    <xf borderId="1" fillId="4" fontId="14" numFmtId="0" xfId="0" applyAlignment="1" applyBorder="1" applyFont="1">
      <alignment shrinkToFit="0" vertical="center" wrapText="1"/>
    </xf>
    <xf borderId="6" fillId="3" fontId="17" numFmtId="0" xfId="0" applyAlignment="1" applyBorder="1" applyFont="1">
      <alignment horizontal="center" shrinkToFit="0" vertical="center" wrapText="1"/>
    </xf>
    <xf borderId="6" fillId="5" fontId="6" numFmtId="0" xfId="0" applyAlignment="1" applyBorder="1" applyFont="1">
      <alignment horizontal="center" readingOrder="0" shrinkToFit="0" vertical="center" wrapText="1"/>
    </xf>
    <xf borderId="6" fillId="5" fontId="18" numFmtId="0" xfId="0" applyAlignment="1" applyBorder="1" applyFont="1">
      <alignment shrinkToFit="0" vertical="center" wrapText="1"/>
    </xf>
    <xf borderId="6" fillId="4" fontId="19" numFmtId="1" xfId="0" applyAlignment="1" applyBorder="1" applyFont="1" applyNumberFormat="1">
      <alignment shrinkToFit="0" vertical="center" wrapText="1"/>
    </xf>
    <xf borderId="6" fillId="5" fontId="6" numFmtId="0" xfId="0" applyAlignment="1" applyBorder="1" applyFont="1">
      <alignment shrinkToFit="0" vertical="center" wrapText="1"/>
    </xf>
    <xf borderId="6" fillId="0" fontId="6" numFmtId="0" xfId="0" applyAlignment="1" applyBorder="1" applyFont="1">
      <alignment readingOrder="0" shrinkToFit="0" vertical="center" wrapText="1"/>
    </xf>
    <xf borderId="6" fillId="4" fontId="19" numFmtId="0" xfId="0" applyAlignment="1" applyBorder="1" applyFont="1">
      <alignment shrinkToFit="0" vertical="center" wrapText="1"/>
    </xf>
    <xf borderId="6" fillId="5" fontId="6" numFmtId="0" xfId="0" applyAlignment="1" applyBorder="1" applyFont="1">
      <alignment readingOrder="0" shrinkToFit="0" vertical="center" wrapText="1"/>
    </xf>
    <xf borderId="6" fillId="5" fontId="0" numFmtId="0" xfId="0" applyAlignment="1" applyBorder="1" applyFont="1">
      <alignment readingOrder="0" shrinkToFit="0" vertical="center" wrapText="1"/>
    </xf>
    <xf borderId="6" fillId="5" fontId="0" numFmtId="0" xfId="0" applyAlignment="1" applyBorder="1" applyFont="1">
      <alignment readingOrder="0" shrinkToFit="0" vertical="center" wrapText="1"/>
    </xf>
    <xf borderId="1" fillId="5" fontId="6" numFmtId="0" xfId="0" applyAlignment="1" applyBorder="1" applyFont="1">
      <alignment readingOrder="0" shrinkToFit="0" vertical="center" wrapText="1"/>
    </xf>
    <xf borderId="1" fillId="0" fontId="6" numFmtId="0" xfId="0" applyAlignment="1" applyBorder="1" applyFont="1">
      <alignment readingOrder="0" shrinkToFit="0" vertical="center" wrapText="1"/>
    </xf>
    <xf borderId="6" fillId="0" fontId="6" numFmtId="0" xfId="0" applyAlignment="1" applyBorder="1" applyFont="1">
      <alignment horizontal="center" readingOrder="0" shrinkToFit="0" vertical="center" wrapText="1"/>
    </xf>
    <xf borderId="6" fillId="5" fontId="0" numFmtId="0" xfId="0" applyAlignment="1" applyBorder="1" applyFont="1">
      <alignment shrinkToFit="0" vertical="center" wrapText="1"/>
    </xf>
    <xf borderId="1" fillId="9" fontId="1" numFmtId="0" xfId="0" applyAlignment="1" applyBorder="1" applyFill="1" applyFont="1">
      <alignment horizontal="left" shrinkToFit="0" vertical="center" wrapText="1"/>
    </xf>
    <xf borderId="6" fillId="0" fontId="0" numFmtId="0" xfId="0" applyAlignment="1" applyBorder="1" applyFont="1">
      <alignment readingOrder="0" shrinkToFit="0" vertical="center" wrapText="1"/>
    </xf>
    <xf borderId="6" fillId="0" fontId="6" numFmtId="0" xfId="0" applyAlignment="1" applyBorder="1" applyFont="1">
      <alignment shrinkToFit="0" vertical="bottom" wrapText="0"/>
    </xf>
    <xf borderId="1" fillId="5" fontId="6" numFmtId="0" xfId="0" applyAlignment="1" applyBorder="1" applyFont="1">
      <alignment shrinkToFit="0" vertical="center" wrapText="1"/>
    </xf>
    <xf borderId="6" fillId="4" fontId="5" numFmtId="0" xfId="0" applyAlignment="1" applyBorder="1" applyFont="1">
      <alignment horizontal="left" shrinkToFit="0" vertical="center" wrapText="1"/>
    </xf>
    <xf borderId="1" fillId="5" fontId="6" numFmtId="0" xfId="0" applyAlignment="1" applyBorder="1" applyFont="1">
      <alignment horizontal="left" shrinkToFit="0" vertical="center" wrapText="1"/>
    </xf>
    <xf borderId="6" fillId="3" fontId="10" numFmtId="49" xfId="0" applyAlignment="1" applyBorder="1" applyFont="1" applyNumberFormat="1">
      <alignment horizontal="center" shrinkToFit="0" vertical="center" wrapText="1"/>
    </xf>
    <xf borderId="6" fillId="5" fontId="6" numFmtId="0" xfId="0" applyAlignment="1" applyBorder="1" applyFont="1">
      <alignment horizontal="center" shrinkToFit="0" vertical="center" wrapText="1"/>
    </xf>
    <xf borderId="0" fillId="0" fontId="20" numFmtId="0" xfId="0" applyAlignment="1" applyFont="1">
      <alignment shrinkToFit="0" vertical="bottom" wrapText="0"/>
    </xf>
    <xf borderId="6" fillId="5" fontId="18" numFmtId="1" xfId="0" applyAlignment="1" applyBorder="1" applyFont="1" applyNumberFormat="1">
      <alignment shrinkToFit="0" vertical="center" wrapText="1"/>
    </xf>
    <xf borderId="6" fillId="4" fontId="10" numFmtId="0" xfId="0" applyAlignment="1" applyBorder="1" applyFont="1">
      <alignment horizontal="left" shrinkToFit="0" vertical="center" wrapText="1"/>
    </xf>
    <xf borderId="6" fillId="4" fontId="10" numFmtId="49" xfId="0" applyAlignment="1" applyBorder="1" applyFont="1" applyNumberFormat="1">
      <alignment horizontal="center" shrinkToFit="0" vertical="center" wrapText="1"/>
    </xf>
    <xf borderId="6" fillId="4" fontId="10" numFmtId="0" xfId="0" applyAlignment="1" applyBorder="1" applyFont="1">
      <alignment horizontal="center" shrinkToFit="0" vertical="center" wrapText="1"/>
    </xf>
    <xf borderId="11" fillId="4" fontId="20" numFmtId="0" xfId="0" applyAlignment="1" applyBorder="1" applyFont="1">
      <alignment shrinkToFit="0" vertical="bottom" wrapText="0"/>
    </xf>
    <xf borderId="6" fillId="0" fontId="6" numFmtId="49" xfId="0" applyAlignment="1" applyBorder="1" applyFont="1" applyNumberFormat="1">
      <alignment horizontal="center" shrinkToFit="0" vertical="center" wrapText="1"/>
    </xf>
    <xf borderId="6" fillId="0" fontId="6" numFmtId="0" xfId="0" applyAlignment="1" applyBorder="1" applyFont="1">
      <alignment horizontal="center" shrinkToFit="0" vertical="center" wrapText="1"/>
    </xf>
    <xf borderId="6" fillId="6" fontId="6" numFmtId="49" xfId="0" applyAlignment="1" applyBorder="1" applyFont="1" applyNumberFormat="1">
      <alignment horizontal="center" shrinkToFit="0" vertical="center" wrapText="1"/>
    </xf>
    <xf borderId="6" fillId="5" fontId="6" numFmtId="1" xfId="0" applyAlignment="1" applyBorder="1" applyFont="1" applyNumberFormat="1">
      <alignment shrinkToFit="0" vertical="center" wrapText="1"/>
    </xf>
    <xf borderId="6" fillId="6" fontId="6" numFmtId="0" xfId="0" applyAlignment="1" applyBorder="1" applyFont="1">
      <alignment horizontal="center" shrinkToFit="0" vertical="center" wrapText="1"/>
    </xf>
    <xf borderId="6" fillId="5" fontId="6" numFmtId="1" xfId="0" applyAlignment="1" applyBorder="1" applyFont="1" applyNumberFormat="1">
      <alignment horizontal="center" shrinkToFit="0" vertical="center" wrapText="1"/>
    </xf>
    <xf borderId="0" fillId="0" fontId="6" numFmtId="0" xfId="0" applyAlignment="1" applyFont="1">
      <alignment horizontal="left" shrinkToFit="0" vertical="center" wrapText="0"/>
    </xf>
    <xf borderId="0" fillId="0" fontId="0" numFmtId="0" xfId="0" applyAlignment="1" applyFont="1">
      <alignment horizontal="left" shrinkToFit="0" vertical="center" wrapText="1"/>
    </xf>
    <xf borderId="6" fillId="10" fontId="6" numFmtId="0" xfId="0" applyAlignment="1" applyBorder="1" applyFill="1" applyFont="1">
      <alignment shrinkToFit="0" vertical="center" wrapText="1"/>
    </xf>
    <xf borderId="6" fillId="4" fontId="6" numFmtId="49" xfId="0" applyAlignment="1" applyBorder="1" applyFont="1" applyNumberFormat="1">
      <alignment shrinkToFit="0" vertical="center" wrapText="1"/>
    </xf>
    <xf borderId="6" fillId="0" fontId="6" numFmtId="0" xfId="0" applyAlignment="1" applyBorder="1" applyFont="1">
      <alignment horizontal="left" readingOrder="0" shrinkToFit="0" vertical="center" wrapText="1"/>
    </xf>
    <xf borderId="6" fillId="5" fontId="6" numFmtId="0" xfId="0" applyAlignment="1" applyBorder="1" applyFont="1">
      <alignment horizontal="left" shrinkToFit="0" vertical="center" wrapText="1"/>
    </xf>
    <xf borderId="6" fillId="5" fontId="6" numFmtId="1" xfId="0" applyAlignment="1" applyBorder="1" applyFont="1" applyNumberFormat="1">
      <alignment horizontal="left" shrinkToFit="0" vertical="center" wrapText="1"/>
    </xf>
    <xf borderId="1" fillId="0" fontId="6" numFmtId="0" xfId="0" applyAlignment="1" applyBorder="1" applyFont="1">
      <alignment horizontal="left" readingOrder="0" shrinkToFit="0" vertical="center" wrapText="1"/>
    </xf>
    <xf borderId="6" fillId="4" fontId="19" numFmtId="1" xfId="0" applyAlignment="1" applyBorder="1" applyFont="1" applyNumberFormat="1">
      <alignment horizontal="left" shrinkToFit="0" vertical="center" wrapText="1"/>
    </xf>
    <xf borderId="1" fillId="5" fontId="6" numFmtId="0" xfId="0" applyAlignment="1" applyBorder="1" applyFont="1">
      <alignment horizontal="left" readingOrder="0" shrinkToFit="0" vertical="center" wrapText="1"/>
    </xf>
    <xf borderId="6" fillId="5" fontId="6" numFmtId="1" xfId="0" applyAlignment="1" applyBorder="1" applyFont="1" applyNumberFormat="1">
      <alignment readingOrder="0" shrinkToFit="0" vertical="center" wrapText="1"/>
    </xf>
    <xf borderId="6" fillId="6" fontId="0" numFmtId="0" xfId="0" applyAlignment="1" applyBorder="1" applyFont="1">
      <alignment shrinkToFit="0" vertical="center" wrapText="1"/>
    </xf>
    <xf borderId="0" fillId="5" fontId="6" numFmtId="0" xfId="0" applyAlignment="1" applyFont="1">
      <alignment horizontal="left" readingOrder="0" shrinkToFit="0" vertical="top" wrapText="1"/>
    </xf>
    <xf borderId="3" fillId="5" fontId="6" numFmtId="0" xfId="0" applyAlignment="1" applyBorder="1" applyFont="1">
      <alignment horizontal="left" shrinkToFit="0" vertical="center" wrapText="1"/>
    </xf>
    <xf borderId="6" fillId="6" fontId="6" numFmtId="49" xfId="0" applyAlignment="1" applyBorder="1" applyFont="1" applyNumberFormat="1">
      <alignment shrinkToFit="0" vertical="center" wrapText="1"/>
    </xf>
    <xf borderId="6" fillId="0" fontId="6" numFmtId="1" xfId="0" applyAlignment="1" applyBorder="1" applyFont="1" applyNumberFormat="1">
      <alignment shrinkToFit="0" vertical="center" wrapText="1"/>
    </xf>
    <xf borderId="0" fillId="5" fontId="6" numFmtId="1" xfId="0" applyAlignment="1" applyFont="1" applyNumberFormat="1">
      <alignment horizontal="left" readingOrder="0" shrinkToFit="0" vertical="top" wrapText="1"/>
    </xf>
    <xf borderId="0" fillId="0" fontId="6" numFmtId="1" xfId="0" applyAlignment="1" applyFont="1" applyNumberFormat="1">
      <alignment horizontal="left" readingOrder="0" shrinkToFit="0" vertical="top" wrapText="1"/>
    </xf>
    <xf borderId="6" fillId="6" fontId="6" numFmtId="49" xfId="0" applyAlignment="1" applyBorder="1" applyFont="1" applyNumberFormat="1">
      <alignment horizontal="left" shrinkToFit="0" vertical="center" wrapText="1"/>
    </xf>
    <xf borderId="0" fillId="5" fontId="0" numFmtId="1" xfId="0" applyAlignment="1" applyFont="1" applyNumberFormat="1">
      <alignment horizontal="left" readingOrder="0" shrinkToFit="0" vertical="top" wrapText="1"/>
    </xf>
    <xf borderId="0" fillId="0" fontId="6" numFmtId="0" xfId="0" applyAlignment="1" applyFont="1">
      <alignment horizontal="left" readingOrder="0" shrinkToFit="0" vertical="top" wrapText="1"/>
    </xf>
    <xf borderId="6" fillId="5" fontId="6" numFmtId="0" xfId="0" applyAlignment="1" applyBorder="1" applyFont="1">
      <alignment horizontal="left" readingOrder="0" shrinkToFit="0" vertical="center" wrapText="1"/>
    </xf>
    <xf borderId="6" fillId="6" fontId="6" numFmtId="0" xfId="0" applyAlignment="1" applyBorder="1" applyFont="1">
      <alignment shrinkToFit="0" vertical="center" wrapText="1"/>
    </xf>
    <xf borderId="6" fillId="0" fontId="6" numFmtId="49" xfId="0" applyAlignment="1" applyBorder="1" applyFont="1" applyNumberFormat="1">
      <alignment shrinkToFit="0" vertical="center" wrapText="1"/>
    </xf>
    <xf borderId="6" fillId="5" fontId="21" numFmtId="1" xfId="0" applyAlignment="1" applyBorder="1" applyFont="1" applyNumberFormat="1">
      <alignment shrinkToFit="0" vertical="center" wrapText="1"/>
    </xf>
    <xf borderId="0" fillId="5" fontId="22" numFmtId="1" xfId="0" applyAlignment="1" applyFont="1" applyNumberFormat="1">
      <alignment horizontal="left" readingOrder="0" shrinkToFit="0" vertical="top" wrapText="1"/>
    </xf>
    <xf borderId="1" fillId="5" fontId="23" numFmtId="0" xfId="0" applyAlignment="1" applyBorder="1" applyFont="1">
      <alignment horizontal="left" readingOrder="0" shrinkToFit="0" vertical="center" wrapText="1"/>
    </xf>
    <xf borderId="0" fillId="0" fontId="6" numFmtId="49" xfId="0" applyAlignment="1" applyFont="1" applyNumberFormat="1">
      <alignment shrinkToFit="0" vertical="bottom" wrapText="0"/>
    </xf>
    <xf borderId="0" fillId="0" fontId="6" numFmtId="49" xfId="0" applyAlignment="1" applyFont="1" applyNumberFormat="1">
      <alignment horizontal="center" shrinkToFit="0" vertical="center" wrapText="0"/>
    </xf>
    <xf borderId="0" fillId="0" fontId="6" numFmtId="49" xfId="0" applyAlignment="1" applyFont="1" applyNumberFormat="1">
      <alignment shrinkToFit="0" vertical="bottom" wrapText="1"/>
    </xf>
    <xf borderId="0" fillId="0" fontId="18" numFmtId="49" xfId="0" applyAlignment="1" applyFont="1" applyNumberFormat="1">
      <alignment shrinkToFit="0" vertical="bottom" wrapText="1"/>
    </xf>
    <xf borderId="0" fillId="0" fontId="6" numFmtId="0" xfId="0" applyAlignment="1" applyFont="1">
      <alignment horizontal="center" shrinkToFit="0" vertical="center" wrapText="0"/>
    </xf>
    <xf borderId="6" fillId="0" fontId="0" numFmtId="0" xfId="0" applyAlignment="1" applyBorder="1" applyFont="1">
      <alignment shrinkToFit="0" vertical="top" wrapText="1"/>
    </xf>
    <xf borderId="6" fillId="0" fontId="6" numFmtId="1" xfId="0" applyAlignment="1" applyBorder="1" applyFont="1" applyNumberFormat="1">
      <alignment readingOrder="0" shrinkToFit="0" vertical="center" wrapText="1"/>
    </xf>
    <xf borderId="1" fillId="11" fontId="1" numFmtId="0" xfId="0" applyAlignment="1" applyBorder="1" applyFill="1" applyFont="1">
      <alignment horizontal="left" shrinkToFit="0" vertical="center" wrapText="1"/>
    </xf>
    <xf borderId="12" fillId="0" fontId="2" numFmtId="0" xfId="0" applyAlignment="1" applyBorder="1" applyFont="1">
      <alignment shrinkToFit="0" vertical="top" wrapText="1"/>
    </xf>
    <xf borderId="13" fillId="11" fontId="4" numFmtId="0" xfId="0" applyAlignment="1" applyBorder="1" applyFont="1">
      <alignment horizontal="center" shrinkToFit="0" vertical="center" wrapText="1"/>
    </xf>
    <xf borderId="6" fillId="0" fontId="12" numFmtId="0" xfId="0" applyAlignment="1" applyBorder="1" applyFont="1">
      <alignment shrinkToFit="0" vertical="center" wrapText="1"/>
    </xf>
    <xf borderId="1" fillId="0" fontId="6" numFmtId="0" xfId="0" applyAlignment="1" applyBorder="1" applyFont="1">
      <alignment shrinkToFit="0" vertical="center" wrapText="1"/>
    </xf>
    <xf borderId="14" fillId="0" fontId="12" numFmtId="0" xfId="0" applyAlignment="1" applyBorder="1" applyFont="1">
      <alignment shrinkToFit="0" vertical="center" wrapText="1"/>
    </xf>
    <xf borderId="1" fillId="0" fontId="6" numFmtId="165" xfId="0" applyAlignment="1" applyBorder="1" applyFont="1" applyNumberFormat="1">
      <alignment horizontal="left" shrinkToFit="0" vertical="center" wrapText="0"/>
    </xf>
    <xf borderId="15" fillId="0" fontId="12" numFmtId="0" xfId="0" applyAlignment="1" applyBorder="1" applyFont="1">
      <alignment shrinkToFit="0" vertical="center" wrapText="1"/>
    </xf>
    <xf borderId="15" fillId="0" fontId="6" numFmtId="0" xfId="0" applyAlignment="1" applyBorder="1" applyFont="1">
      <alignment shrinkToFit="0" vertical="center" wrapText="1"/>
    </xf>
    <xf borderId="16" fillId="0" fontId="12" numFmtId="0" xfId="0" applyAlignment="1" applyBorder="1" applyFont="1">
      <alignment shrinkToFit="0" vertical="center" wrapText="1"/>
    </xf>
    <xf borderId="1" fillId="0" fontId="6" numFmtId="164" xfId="0" applyAlignment="1" applyBorder="1" applyFont="1" applyNumberFormat="1">
      <alignment horizontal="left" shrinkToFit="0" vertical="center" wrapText="0"/>
    </xf>
    <xf borderId="6" fillId="12" fontId="12" numFmtId="0" xfId="0" applyAlignment="1" applyBorder="1" applyFill="1" applyFont="1">
      <alignment shrinkToFit="0" vertical="center" wrapText="1"/>
    </xf>
    <xf borderId="9" fillId="0" fontId="12" numFmtId="0" xfId="0" applyAlignment="1" applyBorder="1" applyFont="1">
      <alignment horizontal="center" shrinkToFit="0" vertical="center" wrapText="1"/>
    </xf>
    <xf borderId="17" fillId="0" fontId="2" numFmtId="0" xfId="0" applyAlignment="1" applyBorder="1" applyFont="1">
      <alignment shrinkToFit="0" vertical="top" wrapText="1"/>
    </xf>
    <xf borderId="10" fillId="0" fontId="2" numFmtId="0" xfId="0" applyAlignment="1" applyBorder="1" applyFont="1">
      <alignment shrinkToFit="0" vertical="top" wrapText="1"/>
    </xf>
    <xf borderId="0" fillId="0" fontId="24" numFmtId="0" xfId="0" applyAlignment="1" applyFont="1">
      <alignment horizontal="center" shrinkToFit="0" vertical="center" wrapText="1"/>
    </xf>
    <xf borderId="0" fillId="0" fontId="24" numFmtId="0" xfId="0" applyAlignment="1" applyFont="1">
      <alignment shrinkToFit="0" vertical="center" wrapText="1"/>
    </xf>
    <xf borderId="6" fillId="4" fontId="12" numFmtId="0" xfId="0" applyAlignment="1" applyBorder="1" applyFont="1">
      <alignment horizontal="center" shrinkToFit="0" vertical="center" wrapText="1"/>
    </xf>
    <xf borderId="6" fillId="0" fontId="6" numFmtId="0" xfId="0" applyAlignment="1" applyBorder="1" applyFont="1">
      <alignment shrinkToFit="0" vertical="bottom" wrapText="1"/>
    </xf>
    <xf borderId="6" fillId="0" fontId="6" numFmtId="0" xfId="0" applyAlignment="1" applyBorder="1" applyFont="1">
      <alignment horizontal="center" shrinkToFit="0" vertical="bottom" wrapText="1"/>
    </xf>
    <xf borderId="6" fillId="0" fontId="6" numFmtId="9" xfId="0" applyAlignment="1" applyBorder="1" applyFont="1" applyNumberFormat="1">
      <alignment horizontal="center" shrinkToFit="0" vertical="bottom" wrapText="1"/>
    </xf>
    <xf borderId="0" fillId="0" fontId="6" numFmtId="0" xfId="0" applyAlignment="1" applyFont="1">
      <alignment shrinkToFit="0" vertical="bottom" wrapText="1"/>
    </xf>
    <xf borderId="0" fillId="0" fontId="18" numFmtId="0" xfId="0" applyAlignment="1" applyFont="1">
      <alignment shrinkToFit="0" vertical="bottom" wrapText="1"/>
    </xf>
    <xf borderId="6" fillId="4" fontId="12" numFmtId="9" xfId="0" applyAlignment="1" applyBorder="1" applyFont="1" applyNumberFormat="1">
      <alignment horizontal="center" shrinkToFit="0" vertical="center" wrapText="1"/>
    </xf>
    <xf borderId="1" fillId="4" fontId="8" numFmtId="0" xfId="0" applyAlignment="1" applyBorder="1" applyFont="1">
      <alignment horizontal="left" shrinkToFit="0" vertical="center" wrapText="1"/>
    </xf>
    <xf borderId="0" fillId="0" fontId="8" numFmtId="0" xfId="0" applyAlignment="1" applyFont="1">
      <alignment shrinkToFit="0" vertical="center" wrapText="1"/>
    </xf>
    <xf borderId="6" fillId="0" fontId="8" numFmtId="0" xfId="0" applyAlignment="1" applyBorder="1" applyFont="1">
      <alignment horizontal="center" shrinkToFit="0" vertical="center" wrapText="1"/>
    </xf>
    <xf borderId="1" fillId="0" fontId="8" numFmtId="0" xfId="0" applyAlignment="1" applyBorder="1" applyFont="1">
      <alignment horizontal="center" shrinkToFit="0" vertical="center" wrapText="1"/>
    </xf>
    <xf borderId="0" fillId="0" fontId="8" numFmtId="0" xfId="0" applyAlignment="1" applyFont="1">
      <alignment horizontal="center" shrinkToFit="0" vertical="center" wrapText="1"/>
    </xf>
    <xf borderId="0" fillId="0" fontId="0" numFmtId="0" xfId="0" applyAlignment="1" applyFont="1">
      <alignment horizontal="left" shrinkToFit="0" vertical="top" wrapText="1"/>
    </xf>
    <xf borderId="0" fillId="0" fontId="19" numFmtId="0" xfId="0" applyAlignment="1" applyFont="1">
      <alignment shrinkToFit="0" vertical="top" wrapText="1"/>
    </xf>
    <xf borderId="0" fillId="0" fontId="25" numFmtId="0" xfId="0" applyAlignment="1" applyFont="1">
      <alignment horizontal="left" shrinkToFit="0" vertical="top" wrapText="1"/>
    </xf>
    <xf borderId="11" fillId="3" fontId="13" numFmtId="0" xfId="0" applyAlignment="1" applyBorder="1" applyFont="1">
      <alignment shrinkToFit="0" vertical="top" wrapText="1"/>
    </xf>
    <xf borderId="11" fillId="3" fontId="13" numFmtId="0" xfId="0" applyAlignment="1" applyBorder="1" applyFont="1">
      <alignment horizontal="left" shrinkToFit="0" vertical="top" wrapText="1"/>
    </xf>
    <xf borderId="11" fillId="3" fontId="0" numFmtId="0" xfId="0" applyAlignment="1" applyBorder="1" applyFont="1">
      <alignment horizontal="left" shrinkToFit="0" vertical="top" wrapText="1"/>
    </xf>
    <xf borderId="18" fillId="0" fontId="26" numFmtId="49" xfId="0" applyAlignment="1" applyBorder="1" applyFont="1" applyNumberFormat="1">
      <alignment horizontal="center" shrinkToFit="0" vertical="center" wrapText="0"/>
    </xf>
    <xf borderId="18" fillId="0" fontId="26" numFmtId="0" xfId="0" applyAlignment="1" applyBorder="1" applyFont="1">
      <alignment horizontal="left" shrinkToFit="0" vertical="center" wrapText="1"/>
    </xf>
    <xf borderId="3" fillId="0" fontId="6" numFmtId="49" xfId="0" applyAlignment="1" applyBorder="1" applyFont="1" applyNumberFormat="1">
      <alignment horizontal="center" shrinkToFit="0" vertical="center" wrapText="1"/>
    </xf>
    <xf borderId="0" fillId="0" fontId="0" numFmtId="0" xfId="0" applyAlignment="1" applyFont="1">
      <alignment shrinkToFit="0" vertical="top" wrapText="0"/>
    </xf>
    <xf borderId="0" fillId="0" fontId="0" numFmtId="0" xfId="0" applyAlignment="1" applyFont="1">
      <alignment shrinkToFit="0" vertical="bottom" wrapText="0"/>
    </xf>
    <xf borderId="19" fillId="13" fontId="27" numFmtId="0" xfId="0" applyAlignment="1" applyBorder="1" applyFill="1" applyFont="1">
      <alignment horizontal="center" shrinkToFit="0" vertical="top" wrapText="1"/>
    </xf>
    <xf borderId="19" fillId="13" fontId="27" numFmtId="0" xfId="0" applyAlignment="1" applyBorder="1" applyFont="1">
      <alignment horizontal="left" shrinkToFit="0" vertical="top" wrapText="0"/>
    </xf>
    <xf borderId="11" fillId="13" fontId="27" numFmtId="0" xfId="0" applyAlignment="1" applyBorder="1" applyFont="1">
      <alignment horizontal="center" shrinkToFit="0" vertical="top" wrapText="1"/>
    </xf>
    <xf borderId="11" fillId="13" fontId="27" numFmtId="0" xfId="0" applyAlignment="1" applyBorder="1" applyFont="1">
      <alignment horizontal="left" shrinkToFit="0" vertical="top" wrapText="0"/>
    </xf>
    <xf borderId="19" fillId="13" fontId="28" numFmtId="0" xfId="0" applyAlignment="1" applyBorder="1" applyFont="1">
      <alignment horizontal="left" shrinkToFit="0" vertical="top" wrapText="0"/>
    </xf>
    <xf borderId="6" fillId="0" fontId="27" numFmtId="49" xfId="0" applyAlignment="1" applyBorder="1" applyFont="1" applyNumberFormat="1">
      <alignment horizontal="center" shrinkToFit="0" vertical="center" wrapText="1"/>
    </xf>
    <xf borderId="0" fillId="0" fontId="27" numFmtId="0" xfId="0" applyAlignment="1" applyFont="1">
      <alignment shrinkToFit="0" vertical="top" wrapText="0"/>
    </xf>
    <xf borderId="1" fillId="14" fontId="1" numFmtId="0" xfId="0" applyAlignment="1" applyBorder="1" applyFill="1" applyFont="1">
      <alignment horizontal="left" shrinkToFit="0" vertical="center" wrapText="1"/>
    </xf>
    <xf borderId="0" fillId="0" fontId="27" numFmtId="0" xfId="0" applyAlignment="1" applyFont="1">
      <alignment shrinkToFit="0" vertical="top" wrapText="1"/>
    </xf>
    <xf borderId="13" fillId="14" fontId="4" numFmtId="0" xfId="0" applyAlignment="1" applyBorder="1" applyFont="1">
      <alignment horizontal="center" shrinkToFit="0" vertical="center" wrapText="1"/>
    </xf>
    <xf borderId="1" fillId="4" fontId="5" numFmtId="0" xfId="0" applyAlignment="1" applyBorder="1" applyFont="1">
      <alignment horizontal="center" shrinkToFit="0" vertical="center" wrapText="1"/>
    </xf>
    <xf borderId="0" fillId="0" fontId="6" numFmtId="0" xfId="0" applyAlignment="1" applyFont="1">
      <alignment shrinkToFit="0" vertical="top" wrapText="1"/>
    </xf>
    <xf borderId="0" fillId="0" fontId="6" numFmtId="0" xfId="0" applyAlignment="1" applyFont="1">
      <alignment horizontal="center" shrinkToFit="0" vertical="bottom" wrapText="0"/>
    </xf>
    <xf borderId="1" fillId="0" fontId="6" numFmtId="0" xfId="0" applyAlignment="1" applyBorder="1" applyFont="1">
      <alignment horizontal="left" shrinkToFit="0" vertical="center" wrapText="0"/>
    </xf>
    <xf borderId="11" fillId="5" fontId="6" numFmtId="0" xfId="0" applyAlignment="1" applyBorder="1" applyFont="1">
      <alignment horizontal="center" shrinkToFit="0" vertical="bottom" wrapText="0"/>
    </xf>
    <xf borderId="4" fillId="0" fontId="6" numFmtId="0" xfId="0" applyAlignment="1" applyBorder="1" applyFont="1">
      <alignment shrinkToFit="0" vertical="center" wrapText="1"/>
    </xf>
    <xf borderId="11" fillId="15" fontId="14" numFmtId="0" xfId="0" applyAlignment="1" applyBorder="1" applyFill="1" applyFont="1">
      <alignment shrinkToFit="0" vertical="bottom" wrapText="0"/>
    </xf>
    <xf borderId="20" fillId="0" fontId="6" numFmtId="0" xfId="0" applyAlignment="1" applyBorder="1" applyFont="1">
      <alignment shrinkToFit="0" vertical="center" wrapText="1"/>
    </xf>
    <xf borderId="21" fillId="0" fontId="6" numFmtId="0" xfId="0" applyAlignment="1" applyBorder="1" applyFont="1">
      <alignment shrinkToFit="0" vertical="bottom" wrapText="1"/>
    </xf>
    <xf borderId="0" fillId="0" fontId="27" numFmtId="49" xfId="0" applyAlignment="1" applyFont="1" applyNumberFormat="1">
      <alignment horizontal="left" shrinkToFit="0" vertical="top" wrapText="1"/>
    </xf>
    <xf borderId="1" fillId="0" fontId="6" numFmtId="0" xfId="0" applyAlignment="1" applyBorder="1" applyFont="1">
      <alignment horizontal="center" shrinkToFit="0" vertical="center" wrapText="0"/>
    </xf>
    <xf borderId="21" fillId="0" fontId="6" numFmtId="0" xfId="0" applyAlignment="1" applyBorder="1" applyFont="1">
      <alignment horizontal="center" shrinkToFit="0" vertical="bottom" wrapText="1"/>
    </xf>
    <xf borderId="5" fillId="0" fontId="6" numFmtId="0" xfId="0" applyAlignment="1" applyBorder="1" applyFont="1">
      <alignment shrinkToFit="0" vertical="center" wrapText="1"/>
    </xf>
    <xf borderId="21" fillId="0" fontId="6" numFmtId="0" xfId="0" applyAlignment="1" applyBorder="1" applyFont="1">
      <alignment horizontal="right" shrinkToFit="0" vertical="bottom" wrapText="1"/>
    </xf>
    <xf borderId="7" fillId="0" fontId="6" numFmtId="0" xfId="0" applyAlignment="1" applyBorder="1" applyFont="1">
      <alignment shrinkToFit="0" vertical="top" wrapText="1"/>
    </xf>
    <xf borderId="6" fillId="0" fontId="6" numFmtId="9" xfId="0" applyAlignment="1" applyBorder="1" applyFont="1" applyNumberFormat="1">
      <alignment horizontal="center" shrinkToFit="0" vertical="center" wrapText="0"/>
    </xf>
    <xf borderId="6" fillId="0" fontId="12" numFmtId="0" xfId="0" applyAlignment="1" applyBorder="1" applyFont="1">
      <alignment horizontal="center" shrinkToFit="0" vertical="center" wrapText="1"/>
    </xf>
    <xf borderId="0" fillId="0" fontId="6" numFmtId="165" xfId="0" applyAlignment="1" applyFont="1" applyNumberFormat="1">
      <alignment shrinkToFit="0" vertical="top" wrapText="1"/>
    </xf>
    <xf borderId="8" fillId="0" fontId="6" numFmtId="0" xfId="0" applyAlignment="1" applyBorder="1" applyFont="1">
      <alignment shrinkToFit="0" vertical="top" wrapText="1"/>
    </xf>
    <xf borderId="7" fillId="0" fontId="0" numFmtId="0" xfId="0" applyAlignment="1" applyBorder="1" applyFont="1">
      <alignment shrinkToFit="0" vertical="top" wrapText="1"/>
    </xf>
    <xf borderId="8" fillId="0" fontId="0" numFmtId="0" xfId="0" applyAlignment="1" applyBorder="1" applyFont="1">
      <alignment shrinkToFit="0" vertical="top" wrapText="1"/>
    </xf>
    <xf borderId="0" fillId="0" fontId="29" numFmtId="0" xfId="0" applyAlignment="1" applyFont="1">
      <alignment shrinkToFit="0" vertical="top" wrapText="0"/>
    </xf>
    <xf borderId="0" fillId="0" fontId="6" numFmtId="0" xfId="0" applyAlignment="1" applyFont="1">
      <alignment shrinkToFit="0" vertical="top" wrapText="0"/>
    </xf>
    <xf borderId="0" fillId="0" fontId="6" numFmtId="10" xfId="0" applyAlignment="1" applyFont="1" applyNumberFormat="1">
      <alignment shrinkToFit="0" vertical="top" wrapText="0"/>
    </xf>
    <xf borderId="9" fillId="0" fontId="0" numFmtId="0" xfId="0" applyAlignment="1" applyBorder="1" applyFont="1">
      <alignment shrinkToFit="0" vertical="top" wrapText="1"/>
    </xf>
    <xf borderId="17" fillId="0" fontId="0" numFmtId="0" xfId="0" applyAlignment="1" applyBorder="1" applyFont="1">
      <alignment shrinkToFit="0" vertical="top" wrapText="1"/>
    </xf>
    <xf borderId="10" fillId="0" fontId="0" numFmtId="0" xfId="0" applyAlignment="1" applyBorder="1" applyFont="1">
      <alignment shrinkToFit="0" vertical="top" wrapText="1"/>
    </xf>
    <xf borderId="1" fillId="6" fontId="30" numFmtId="0" xfId="0" applyAlignment="1" applyBorder="1" applyFont="1">
      <alignment horizontal="left" shrinkToFit="0" vertical="center" wrapText="1"/>
    </xf>
    <xf borderId="1" fillId="0" fontId="0" numFmtId="0" xfId="0" applyAlignment="1" applyBorder="1" applyFont="1">
      <alignment horizontal="center" shrinkToFit="0" vertical="center" wrapText="1"/>
    </xf>
    <xf borderId="1" fillId="12" fontId="8" numFmtId="0" xfId="0" applyAlignment="1" applyBorder="1" applyFont="1">
      <alignment horizontal="left" shrinkToFit="0" vertical="center" wrapText="0"/>
    </xf>
    <xf borderId="6" fillId="0" fontId="8" numFmtId="0" xfId="0" applyAlignment="1" applyBorder="1" applyFont="1">
      <alignment horizontal="left" shrinkToFit="0" vertical="center" wrapText="1"/>
    </xf>
    <xf borderId="1" fillId="0" fontId="8" numFmtId="0" xfId="0" applyAlignment="1" applyBorder="1" applyFont="1">
      <alignment horizontal="left" shrinkToFit="0" vertical="center" wrapText="1"/>
    </xf>
    <xf borderId="1" fillId="0" fontId="8" numFmtId="165" xfId="0" applyAlignment="1" applyBorder="1" applyFont="1" applyNumberFormat="1">
      <alignment horizontal="left" shrinkToFit="0" vertical="center" wrapText="1"/>
    </xf>
    <xf borderId="6" fillId="0" fontId="4" numFmtId="0" xfId="0" applyAlignment="1" applyBorder="1" applyFont="1">
      <alignment horizontal="center" shrinkToFit="0" vertical="center" wrapText="1"/>
    </xf>
    <xf borderId="0" fillId="0" fontId="8" numFmtId="0" xfId="0" applyAlignment="1" applyFont="1">
      <alignment horizontal="left" shrinkToFit="0" vertical="center" wrapText="1"/>
    </xf>
    <xf borderId="6" fillId="0" fontId="6" numFmtId="0" xfId="0" applyAlignment="1" applyBorder="1" applyFont="1">
      <alignment shrinkToFit="0" vertical="top" wrapText="1"/>
    </xf>
    <xf borderId="1" fillId="0" fontId="6" numFmtId="0" xfId="0" applyAlignment="1" applyBorder="1" applyFont="1">
      <alignment horizontal="left" shrinkToFit="0" vertical="top" wrapText="1"/>
    </xf>
    <xf borderId="1" fillId="0" fontId="6" numFmtId="165" xfId="0" applyAlignment="1" applyBorder="1" applyFont="1" applyNumberFormat="1">
      <alignment horizontal="left" shrinkToFit="0" vertical="top" wrapText="1"/>
    </xf>
    <xf borderId="0" fillId="0" fontId="31" numFmtId="0" xfId="0" applyAlignment="1" applyFont="1">
      <alignment shrinkToFit="0" vertical="top" wrapText="1"/>
    </xf>
    <xf borderId="22" fillId="0" fontId="6" numFmtId="0" xfId="0" applyAlignment="1" applyBorder="1" applyFont="1">
      <alignment horizontal="center" shrinkToFit="0" vertical="center" wrapText="1"/>
    </xf>
    <xf borderId="23" fillId="0" fontId="6" numFmtId="0" xfId="0" applyAlignment="1" applyBorder="1" applyFont="1">
      <alignment horizontal="center" shrinkToFit="0" vertical="center" wrapText="1"/>
    </xf>
    <xf borderId="21" fillId="5" fontId="6" numFmtId="0" xfId="0" applyAlignment="1" applyBorder="1" applyFont="1">
      <alignment shrinkToFit="0" vertical="bottom" wrapText="1"/>
    </xf>
    <xf borderId="1" fillId="0" fontId="6" numFmtId="0" xfId="0" applyAlignment="1" applyBorder="1" applyFont="1">
      <alignment horizontal="center" shrinkToFit="0" vertical="top" wrapText="1"/>
    </xf>
    <xf borderId="20" fillId="0" fontId="6" numFmtId="0" xfId="0" applyAlignment="1" applyBorder="1" applyFont="1">
      <alignment shrinkToFit="0" vertical="top" wrapText="0"/>
    </xf>
    <xf borderId="20" fillId="0" fontId="6" numFmtId="10" xfId="0" applyAlignment="1" applyBorder="1" applyFont="1" applyNumberFormat="1">
      <alignment shrinkToFit="0" vertical="top" wrapText="0"/>
    </xf>
    <xf borderId="0" fillId="0" fontId="32" numFmtId="0" xfId="0" applyAlignment="1" applyFont="1">
      <alignment shrinkToFit="0" vertical="top" wrapText="1"/>
    </xf>
    <xf borderId="0" fillId="0" fontId="32" numFmtId="0" xfId="0" applyAlignment="1" applyFont="1">
      <alignment horizontal="left" shrinkToFit="0" vertical="top" wrapText="1"/>
    </xf>
    <xf borderId="20" fillId="0" fontId="6" numFmtId="0" xfId="0" applyAlignment="1" applyBorder="1" applyFont="1">
      <alignment shrinkToFit="0" vertical="bottom" wrapText="0"/>
    </xf>
    <xf borderId="0" fillId="0" fontId="6" numFmtId="9" xfId="0" applyAlignment="1" applyFont="1" applyNumberFormat="1">
      <alignment shrinkToFit="0" vertical="top" wrapText="1"/>
    </xf>
    <xf borderId="0" fillId="0" fontId="6" numFmtId="1" xfId="0" applyAlignment="1" applyFont="1" applyNumberFormat="1">
      <alignment shrinkToFit="0" vertical="top" wrapText="1"/>
    </xf>
    <xf borderId="1" fillId="0" fontId="33" numFmtId="165" xfId="0" applyAlignment="1" applyBorder="1" applyFont="1" applyNumberFormat="1">
      <alignment horizontal="left" shrinkToFit="0" vertical="top" wrapText="1"/>
    </xf>
    <xf borderId="0" fillId="0" fontId="32" numFmtId="165" xfId="0" applyAlignment="1" applyFont="1" applyNumberFormat="1">
      <alignment horizontal="left" shrinkToFit="0" vertical="top" wrapText="1"/>
    </xf>
    <xf borderId="0" fillId="0" fontId="2" numFmtId="1" xfId="0" applyAlignment="1" applyFont="1" applyNumberFormat="1">
      <alignment shrinkToFit="0" vertical="top" wrapText="1"/>
    </xf>
    <xf borderId="0" fillId="0" fontId="2" numFmtId="165" xfId="0" applyAlignment="1" applyFont="1" applyNumberFormat="1">
      <alignment shrinkToFit="0" vertical="top" wrapText="1"/>
    </xf>
    <xf borderId="0" fillId="0" fontId="34" numFmtId="1" xfId="0" applyAlignment="1" applyFont="1" applyNumberFormat="1">
      <alignment shrinkToFit="0" vertical="top" wrapText="1"/>
    </xf>
    <xf borderId="6" fillId="0" fontId="6" numFmtId="165" xfId="0" applyAlignment="1" applyBorder="1" applyFont="1" applyNumberFormat="1">
      <alignment shrinkToFit="0" vertical="top" wrapText="1"/>
    </xf>
    <xf borderId="6" fillId="0" fontId="0" numFmtId="165" xfId="0" applyAlignment="1" applyBorder="1" applyFont="1" applyNumberFormat="1">
      <alignment shrinkToFit="0" vertical="top" wrapText="1"/>
    </xf>
    <xf borderId="1" fillId="0" fontId="0" numFmtId="165" xfId="0" applyAlignment="1" applyBorder="1" applyFont="1" applyNumberFormat="1">
      <alignment horizontal="left" shrinkToFit="0" vertical="top" wrapText="1"/>
    </xf>
    <xf borderId="0" fillId="0" fontId="1" numFmtId="0" xfId="0" applyAlignment="1" applyFont="1">
      <alignment shrinkToFit="0" vertical="center" wrapText="1"/>
    </xf>
    <xf borderId="0" fillId="0" fontId="21" numFmtId="0" xfId="0" applyAlignment="1" applyFont="1">
      <alignment shrinkToFit="0" vertical="top" wrapText="1"/>
    </xf>
    <xf borderId="6" fillId="0" fontId="0" numFmtId="14" xfId="0" applyAlignment="1" applyBorder="1" applyFont="1" applyNumberFormat="1">
      <alignment horizontal="left" shrinkToFit="0" vertical="top" wrapText="1"/>
    </xf>
    <xf borderId="6" fillId="0" fontId="0" numFmtId="0" xfId="0" applyAlignment="1" applyBorder="1" applyFont="1">
      <alignment horizontal="left" shrinkToFit="0" vertical="top" wrapText="1"/>
    </xf>
    <xf borderId="0" fillId="0" fontId="8" numFmtId="0" xfId="0" applyAlignment="1" applyFont="1">
      <alignment shrinkToFit="0" vertical="top" wrapText="1"/>
    </xf>
    <xf borderId="0" fillId="0" fontId="35" numFmtId="1" xfId="0" applyAlignment="1" applyFont="1" applyNumberFormat="1">
      <alignment shrinkToFit="0" vertical="top" wrapText="1"/>
    </xf>
    <xf borderId="0" fillId="0" fontId="36" numFmtId="0" xfId="0" applyAlignment="1" applyFont="1">
      <alignment shrinkToFit="0" vertical="top" wrapText="1"/>
    </xf>
    <xf borderId="24" fillId="0" fontId="6" numFmtId="0" xfId="0" applyAlignment="1" applyBorder="1" applyFont="1">
      <alignment shrinkToFit="0" vertical="bottom" wrapText="1"/>
    </xf>
    <xf borderId="24" fillId="0" fontId="6" numFmtId="0" xfId="0" applyAlignment="1" applyBorder="1" applyFont="1">
      <alignment horizontal="center" shrinkToFit="0" vertical="bottom" wrapText="1"/>
    </xf>
    <xf borderId="25" fillId="5" fontId="6" numFmtId="0" xfId="0" applyAlignment="1" applyBorder="1" applyFont="1">
      <alignment shrinkToFit="0" vertical="bottom" wrapText="1"/>
    </xf>
    <xf borderId="24" fillId="0" fontId="6" numFmtId="0" xfId="0" applyAlignment="1" applyBorder="1" applyFont="1">
      <alignment horizontal="right" shrinkToFit="0" vertical="bottom" wrapText="1"/>
    </xf>
  </cellXfs>
  <cellStyles count="1">
    <cellStyle xfId="0" name="Normal" builtinId="0"/>
  </cellStyles>
  <dxfs count="18">
    <dxf>
      <font>
        <color rgb="FFBF9000"/>
      </font>
      <fill>
        <patternFill patternType="solid">
          <fgColor rgb="FF000000"/>
          <bgColor rgb="FF000000"/>
        </patternFill>
      </fill>
      <border>
        <left style="thin">
          <color rgb="FF000000"/>
        </left>
        <right style="thin">
          <color rgb="FF000000"/>
        </right>
        <top style="thin">
          <color rgb="FF000000"/>
        </top>
        <bottom style="thin">
          <color rgb="FF000000"/>
        </bottom>
      </border>
    </dxf>
    <dxf>
      <font>
        <color rgb="FFBF9000"/>
      </font>
      <fill>
        <patternFill patternType="solid">
          <fgColor rgb="FF0C0C0C"/>
          <bgColor rgb="FF0C0C0C"/>
        </patternFill>
      </fill>
      <border>
        <left style="thin">
          <color rgb="FF000000"/>
        </left>
        <right style="thin">
          <color rgb="FF000000"/>
        </right>
        <top style="thin">
          <color rgb="FF000000"/>
        </top>
        <bottom style="thin">
          <color rgb="FF000000"/>
        </bottom>
      </border>
    </dxf>
    <dxf>
      <font>
        <color rgb="FFD8D8D8"/>
      </font>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0C0C0C"/>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000000"/>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rgb="FFF2F2F2"/>
      </font>
      <fill>
        <patternFill patternType="solid">
          <fgColor rgb="FFF2F2F2"/>
          <bgColor rgb="FFF2F2F2"/>
        </patternFill>
      </fill>
      <border/>
    </dxf>
    <dxf>
      <font>
        <color rgb="FF000000"/>
      </font>
      <fill>
        <patternFill patternType="solid">
          <fgColor rgb="FFFFDCB0"/>
          <bgColor rgb="FFFFDCB0"/>
        </patternFill>
      </fill>
      <border>
        <left style="thin">
          <color rgb="FF000000"/>
        </left>
        <right style="thin">
          <color rgb="FF000000"/>
        </right>
        <top style="thin">
          <color rgb="FF000000"/>
        </top>
        <bottom style="thin">
          <color rgb="FF000000"/>
        </bottom>
      </border>
    </dxf>
    <dxf>
      <font/>
      <fill>
        <patternFill patternType="none"/>
      </fill>
      <border/>
    </dxf>
    <dxf>
      <font>
        <color rgb="FF000000"/>
      </font>
      <fill>
        <patternFill patternType="solid">
          <fgColor rgb="FFFFFFFF"/>
          <bgColor rgb="FFFFFFFF"/>
        </patternFill>
      </fill>
      <border/>
    </dxf>
    <dxf>
      <font>
        <color rgb="FF000000"/>
      </font>
      <fill>
        <patternFill patternType="solid">
          <fgColor rgb="FFF3F3F3"/>
          <bgColor rgb="FFF3F3F3"/>
        </patternFill>
      </fill>
      <border>
        <right style="thin">
          <color rgb="FFFFFFFF"/>
        </right>
      </border>
    </dxf>
    <dxf>
      <font>
        <color rgb="FFFFFFFF"/>
      </font>
      <fill>
        <patternFill patternType="solid">
          <fgColor rgb="FF666666"/>
          <bgColor rgb="FF666666"/>
        </patternFill>
      </fill>
      <border>
        <bottom style="thin">
          <color rgb="FFFFFFFF"/>
        </bottom>
      </border>
    </dxf>
    <dxf>
      <font>
        <color rgb="FF000000"/>
      </font>
      <fill>
        <patternFill patternType="solid">
          <fgColor rgb="FFD9D9D9"/>
          <bgColor rgb="FFD9D9D9"/>
        </patternFill>
      </fill>
      <border>
        <top style="thin">
          <color rgb="FFFFFFFF"/>
        </top>
      </border>
    </dxf>
    <dxf>
      <font>
        <b/>
        <color rgb="FF000000"/>
      </font>
      <fill>
        <patternFill patternType="solid">
          <fgColor rgb="FFD9D9D9"/>
          <bgColor rgb="FFD9D9D9"/>
        </patternFill>
      </fill>
      <border>
        <top style="double">
          <color rgb="FF000000"/>
        </top>
      </border>
    </dxf>
    <dxf>
      <font>
        <color rgb="FF000000"/>
      </font>
      <fill>
        <patternFill patternType="solid">
          <fgColor rgb="FFFFC000"/>
          <bgColor rgb="FFFFC000"/>
        </patternFill>
      </fill>
      <border>
        <left style="thin">
          <color rgb="FF000000"/>
        </left>
        <right style="thin">
          <color rgb="FF000000"/>
        </right>
        <top style="thin">
          <color rgb="FF000000"/>
        </top>
        <bottom style="thin">
          <color rgb="FF000000"/>
        </bottom>
      </border>
    </dxf>
    <dxf>
      <font>
        <b/>
        <color rgb="FF000000"/>
      </font>
      <fill>
        <patternFill patternType="solid">
          <fgColor rgb="FFFFFF00"/>
          <bgColor rgb="FFFFFF00"/>
        </patternFill>
      </fill>
      <border>
        <left style="thin">
          <color rgb="FF000000"/>
        </left>
        <right style="thin">
          <color rgb="FF000000"/>
        </right>
        <top style="thin">
          <color rgb="FF000000"/>
        </top>
        <bottom style="thin">
          <color rgb="FF000000"/>
        </bottom>
      </border>
    </dxf>
    <dxf>
      <font/>
      <fill>
        <patternFill patternType="solid">
          <fgColor rgb="FF00B0F0"/>
          <bgColor rgb="FF00B0F0"/>
        </patternFill>
      </fill>
      <border>
        <left style="thin">
          <color rgb="FF000000"/>
        </left>
        <right style="thin">
          <color rgb="FF000000"/>
        </right>
        <top style="thin">
          <color rgb="FF000000"/>
        </top>
        <bottom style="thin">
          <color rgb="FF000000"/>
        </bottom>
      </border>
    </dxf>
    <dxf>
      <font>
        <color rgb="FF000000"/>
      </font>
      <fill>
        <patternFill patternType="solid">
          <fgColor rgb="FF00B050"/>
          <bgColor rgb="FF00B050"/>
        </patternFill>
      </fill>
      <border>
        <left style="thin">
          <color rgb="FF00B050"/>
        </left>
        <right style="thin">
          <color rgb="FF00B050"/>
        </right>
        <top style="thin">
          <color rgb="FF00B050"/>
        </top>
        <bottom style="thin">
          <color rgb="FF00B050"/>
        </bottom>
      </border>
    </dxf>
    <dxf>
      <font/>
      <fill>
        <patternFill patternType="solid">
          <fgColor rgb="FFFF0000"/>
          <bgColor rgb="FFFF0000"/>
        </patternFill>
      </fill>
      <border>
        <left style="thin">
          <color rgb="FF000000"/>
        </left>
        <right style="thin">
          <color rgb="FF000000"/>
        </right>
        <top style="thin">
          <color rgb="FF000000"/>
        </top>
        <bottom style="thin">
          <color rgb="FF000000"/>
        </bottom>
      </border>
    </dxf>
  </dxfs>
  <tableStyles count="1">
    <tableStyle count="12" table="0" name="Google Sheets Pivot Table Style">
      <tableStyleElement dxfId="8" type="wholeTable"/>
      <tableStyleElement dxfId="9" type="firstRowSubheading"/>
      <tableStyleElement dxfId="9" type="secondRowSubheading"/>
      <tableStyleElement dxfId="9" type="thirdRowSubheading"/>
      <tableStyleElement dxfId="10" type="firstColumnSubheading"/>
      <tableStyleElement dxfId="10" type="secondColumnSubheading"/>
      <tableStyleElement dxfId="10" type="thirdColumnSubheading"/>
      <tableStyleElement dxfId="10" type="headerRow"/>
      <tableStyleElement dxfId="11" type="firstSubtotalRow"/>
      <tableStyleElement dxfId="11" type="secondSubtotalRow"/>
      <tableStyleElement dxfId="11" type="thirdSubtotalRow"/>
      <tableStyleElement dxfId="12" type="totalRow"/>
    </tableStyle>
  </tableStyles>
</styleSheet>
</file>

<file path=xl/_rels/workbook.xml.rels><?xml version="1.0" encoding="UTF-8" standalone="yes"?><Relationships xmlns="http://schemas.openxmlformats.org/package/2006/relationships"><Relationship Id="rId11" Type="http://schemas.openxmlformats.org/officeDocument/2006/relationships/worksheet" Target="worksheets/sheet9.xml"/><Relationship Id="rId10" Type="http://schemas.openxmlformats.org/officeDocument/2006/relationships/worksheet" Target="worksheets/sheet8.xml"/><Relationship Id="rId13" Type="http://schemas.openxmlformats.org/officeDocument/2006/relationships/worksheet" Target="worksheets/sheet11.xml"/><Relationship Id="rId12" Type="http://schemas.openxmlformats.org/officeDocument/2006/relationships/worksheet" Target="worksheets/sheet10.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15" Type="http://schemas.openxmlformats.org/officeDocument/2006/relationships/worksheet" Target="worksheets/sheet13.xml"/><Relationship Id="rId14" Type="http://schemas.openxmlformats.org/officeDocument/2006/relationships/worksheet" Target="worksheets/sheet12.xml"/><Relationship Id="rId16" Type="http://schemas.openxmlformats.org/officeDocument/2006/relationships/pivotCacheDefinition" Target="pivotCache/pivotCacheDefinition1.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400">
                <a:solidFill>
                  <a:srgbClr val="595959"/>
                </a:solidFill>
                <a:latin typeface="Helvetica"/>
              </a:defRPr>
            </a:pPr>
            <a:r>
              <a:t>Subsection Scores</a:t>
            </a:r>
          </a:p>
        </c:rich>
      </c:tx>
      <c:overlay val="0"/>
    </c:title>
    <c:view3D>
      <c:rotX val="15"/>
      <c:rotY val="20"/>
      <c:depthPercent val="100"/>
      <c:rAngAx val="1"/>
    </c:view3D>
    <c:plotArea>
      <c:layout/>
      <c:bar3DChart>
        <c:barDir val="bar"/>
        <c:grouping val="clustered"/>
        <c:ser>
          <c:idx val="0"/>
          <c:order val="0"/>
          <c:spPr>
            <a:solidFill>
              <a:srgbClr val="FF0000"/>
            </a:solidFill>
          </c:spPr>
          <c:cat>
            <c:strRef>
              <c:f>Questions!$T$2:$T$21</c:f>
            </c:strRef>
          </c:cat>
          <c:val>
            <c:numRef>
              <c:f>Questions!$Y$2:$Y$21</c:f>
            </c:numRef>
          </c:val>
        </c:ser>
        <c:ser>
          <c:idx val="1"/>
          <c:order val="1"/>
          <c:spPr>
            <a:solidFill>
              <a:srgbClr val="FF0000"/>
            </a:solidFill>
          </c:spPr>
          <c:cat>
            <c:strRef>
              <c:f>Questions!$T$2:$T$21</c:f>
            </c:strRef>
          </c:cat>
          <c:val>
            <c:numRef>
              <c:f>Questions!$Y$2:$Y$21</c:f>
            </c:numRef>
          </c:val>
        </c:ser>
        <c:axId val="154166422"/>
        <c:axId val="1059062051"/>
      </c:bar3DChart>
      <c:catAx>
        <c:axId val="154166422"/>
        <c:scaling>
          <c:orientation val="maxMin"/>
        </c:scaling>
        <c:delete val="0"/>
        <c:axPos val="l"/>
        <c:txPr>
          <a:bodyPr/>
          <a:lstStyle/>
          <a:p>
            <a:pPr lvl="0">
              <a:defRPr b="0" i="0" sz="1200">
                <a:solidFill>
                  <a:srgbClr val="595959"/>
                </a:solidFill>
                <a:latin typeface="Verdana"/>
              </a:defRPr>
            </a:pPr>
          </a:p>
        </c:txPr>
        <c:crossAx val="1059062051"/>
      </c:catAx>
      <c:valAx>
        <c:axId val="1059062051"/>
        <c:scaling>
          <c:orientation val="minMax"/>
          <c:max val="1.0"/>
        </c:scaling>
        <c:delete val="0"/>
        <c:axPos val="b"/>
        <c:majorGridlines>
          <c:spPr>
            <a:ln>
              <a:solidFill>
                <a:srgbClr val="D9D9D9"/>
              </a:solidFill>
            </a:ln>
          </c:spPr>
        </c:majorGridlines>
        <c:numFmt formatCode="General" sourceLinked="1"/>
        <c:tickLblPos val="nextTo"/>
        <c:spPr>
          <a:ln w="47625">
            <a:noFill/>
          </a:ln>
        </c:spPr>
        <c:txPr>
          <a:bodyPr/>
          <a:lstStyle/>
          <a:p>
            <a:pPr lvl="0">
              <a:defRPr b="0" i="0" sz="900">
                <a:solidFill>
                  <a:srgbClr val="595959"/>
                </a:solidFill>
                <a:latin typeface="Helvetica"/>
              </a:defRPr>
            </a:pPr>
          </a:p>
        </c:txPr>
        <c:crossAx val="154166422"/>
        <c:crosses val="max"/>
      </c:valAx>
      <c:spPr>
        <a:solidFill>
          <a:srgbClr val="FFFFFF"/>
        </a:solidFill>
      </c:spPr>
    </c:plotArea>
    <c:plotVisOnly val="1"/>
  </c:chart>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0</xdr:col>
      <xdr:colOff>0</xdr:colOff>
      <xdr:row>2</xdr:row>
      <xdr:rowOff>38100</xdr:rowOff>
    </xdr:from>
    <xdr:ext cx="7353300" cy="8258175"/>
    <xdr:sp>
      <xdr:nvSpPr>
        <xdr:cNvPr id="3" name="Shape 3"/>
        <xdr:cNvSpPr txBox="1"/>
      </xdr:nvSpPr>
      <xdr:spPr>
        <a:xfrm>
          <a:off x="1670846" y="0"/>
          <a:ext cx="7350308" cy="7560000"/>
        </a:xfrm>
        <a:prstGeom prst="rect">
          <a:avLst/>
        </a:prstGeom>
        <a:noFill/>
        <a:ln>
          <a:noFill/>
        </a:ln>
      </xdr:spPr>
      <xdr:txBody>
        <a:bodyPr anchorCtr="0" anchor="ctr"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Verdana"/>
              <a:ea typeface="Verdana"/>
              <a:cs typeface="Verdana"/>
              <a:sym typeface="Verdana"/>
            </a:rPr>
            <a:t>Shared Assessments Introduction</a:t>
          </a:r>
          <a:endParaRPr sz="1600">
            <a:solidFill>
              <a:schemeClr val="dk1"/>
            </a:solidFill>
            <a:latin typeface="Verdana"/>
            <a:ea typeface="Verdana"/>
            <a:cs typeface="Verdana"/>
            <a:sym typeface="Verdana"/>
          </a:endParaRPr>
        </a:p>
        <a:p>
          <a:pPr indent="0" lvl="0" marL="0" rtl="0" algn="l">
            <a:spcBef>
              <a:spcPts val="0"/>
            </a:spcBef>
            <a:spcAft>
              <a:spcPts val="0"/>
            </a:spcAft>
            <a:buNone/>
          </a:pPr>
          <a:r>
            <a:rPr lang="en-US" sz="1100">
              <a:solidFill>
                <a:schemeClr val="dk1"/>
              </a:solidFill>
              <a:latin typeface="Verdana"/>
              <a:ea typeface="Verdana"/>
              <a:cs typeface="Verdana"/>
              <a:sym typeface="Verdana"/>
            </a:rPr>
            <a:t> </a:t>
          </a:r>
          <a:endParaRPr sz="1400"/>
        </a:p>
        <a:p>
          <a:pPr indent="0" lvl="0" marL="0" rtl="0" algn="l">
            <a:spcBef>
              <a:spcPts val="0"/>
            </a:spcBef>
            <a:spcAft>
              <a:spcPts val="0"/>
            </a:spcAft>
            <a:buNone/>
          </a:pPr>
          <a:r>
            <a:rPr b="0" i="0" lang="en-US" sz="1100" u="none" strike="noStrike">
              <a:solidFill>
                <a:schemeClr val="dk1"/>
              </a:solidFill>
              <a:latin typeface="Verdana"/>
              <a:ea typeface="Verdana"/>
              <a:cs typeface="Verdana"/>
              <a:sym typeface="Verdana"/>
            </a:rPr>
            <a: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and reviewing such assessments.</a:t>
          </a:r>
          <a:endParaRPr b="0" sz="1100">
            <a:latin typeface="Verdana"/>
            <a:ea typeface="Verdana"/>
            <a:cs typeface="Verdana"/>
            <a:sym typeface="Verdana"/>
          </a:endParaRPr>
        </a:p>
        <a:p>
          <a:pPr indent="0" lvl="0" marL="0" rtl="0" algn="l">
            <a:spcBef>
              <a:spcPts val="0"/>
            </a:spcBef>
            <a:spcAft>
              <a:spcPts val="0"/>
            </a:spcAft>
            <a:buNone/>
          </a:pPr>
          <a:br>
            <a:rPr b="0" lang="en-US" sz="1100">
              <a:solidFill>
                <a:schemeClr val="dk1"/>
              </a:solidFill>
              <a:latin typeface="Verdana"/>
              <a:ea typeface="Verdana"/>
              <a:cs typeface="Verdana"/>
              <a:sym typeface="Verdana"/>
            </a:rPr>
          </a:br>
          <a:r>
            <a:rPr b="0" i="0" lang="en-US" sz="1100" u="none" strike="noStrike">
              <a:solidFill>
                <a:schemeClr val="dk1"/>
              </a:solidFill>
              <a:latin typeface="Verdana"/>
              <a:ea typeface="Verdana"/>
              <a:cs typeface="Verdana"/>
              <a:sym typeface="Verdana"/>
            </a:rPr>
            <a:t>The </a:t>
          </a:r>
          <a:r>
            <a:rPr b="1" i="0" lang="en-US" sz="1100" u="none" strike="noStrike">
              <a:solidFill>
                <a:schemeClr val="dk1"/>
              </a:solidFill>
              <a:latin typeface="Verdana"/>
              <a:ea typeface="Verdana"/>
              <a:cs typeface="Verdana"/>
              <a:sym typeface="Verdana"/>
            </a:rPr>
            <a:t>Higher Education Cloud Vendor Assessment Tool </a:t>
          </a:r>
          <a:r>
            <a:rPr b="0" i="0" lang="en-US" sz="1100" u="none" strike="noStrike">
              <a:solidFill>
                <a:schemeClr val="dk1"/>
              </a:solidFill>
              <a:latin typeface="Verdana"/>
              <a:ea typeface="Verdana"/>
              <a:cs typeface="Verdana"/>
              <a:sym typeface="Verdana"/>
            </a:rPr>
            <a:t>(</a:t>
          </a:r>
          <a:r>
            <a:rPr b="1" i="0" lang="en-US" sz="1100" u="none" strike="noStrike">
              <a:solidFill>
                <a:schemeClr val="dk1"/>
              </a:solidFill>
              <a:latin typeface="Verdana"/>
              <a:ea typeface="Verdana"/>
              <a:cs typeface="Verdana"/>
              <a:sym typeface="Verdana"/>
            </a:rPr>
            <a:t>HECVAT</a:t>
          </a:r>
          <a:r>
            <a:rPr b="0" i="0" lang="en-US" sz="1100" u="none" strike="noStrike">
              <a:solidFill>
                <a:schemeClr val="dk1"/>
              </a:solidFill>
              <a:latin typeface="Verdana"/>
              <a:ea typeface="Verdana"/>
              <a:cs typeface="Verdana"/>
              <a:sym typeface="Verdana"/>
            </a:rPr>
            <a:t>)</a:t>
          </a:r>
          <a:r>
            <a:rPr b="0" i="0" lang="en-US" sz="1100" u="none" strike="noStrike">
              <a:solidFill>
                <a:schemeClr val="dk1"/>
              </a:solidFill>
              <a:latin typeface="Verdana"/>
              <a:ea typeface="Verdana"/>
              <a:cs typeface="Verdana"/>
              <a:sym typeface="Verdana"/>
            </a:rPr>
            <a:t> </a:t>
          </a:r>
          <a:r>
            <a:rPr b="0" i="0" lang="en-US" sz="1100" u="none" strike="noStrike">
              <a:solidFill>
                <a:schemeClr val="dk1"/>
              </a:solidFill>
              <a:latin typeface="Verdana"/>
              <a:ea typeface="Verdana"/>
              <a:cs typeface="Verdana"/>
              <a:sym typeface="Verdana"/>
            </a:rPr>
            <a:t>attempts to generalize higher education information security and data protection questions and issues for consistency and ease of use. Some institutions may have specific issues that must be addressed in addition to the general questions provided in this assessment. It is anticipated that this HECVAT</a:t>
          </a:r>
          <a:r>
            <a:rPr b="0" i="0" lang="en-US" sz="1100" u="none" strike="noStrike">
              <a:solidFill>
                <a:schemeClr val="dk1"/>
              </a:solidFill>
              <a:latin typeface="Verdana"/>
              <a:ea typeface="Verdana"/>
              <a:cs typeface="Verdana"/>
              <a:sym typeface="Verdana"/>
            </a:rPr>
            <a:t> </a:t>
          </a:r>
          <a:r>
            <a:rPr b="0" i="0" lang="en-US" sz="1100" u="none" strike="noStrike">
              <a:solidFill>
                <a:schemeClr val="dk1"/>
              </a:solidFill>
              <a:latin typeface="Verdana"/>
              <a:ea typeface="Verdana"/>
              <a:cs typeface="Verdana"/>
              <a:sym typeface="Verdana"/>
            </a:rPr>
            <a:t>will be revised over time to account for changes in cloud services provisioning and the information security and data protection needs of higher education institutions.</a:t>
          </a:r>
          <a:endParaRPr b="0" sz="1100">
            <a:latin typeface="Verdana"/>
            <a:ea typeface="Verdana"/>
            <a:cs typeface="Verdana"/>
            <a:sym typeface="Verdana"/>
          </a:endParaRPr>
        </a:p>
        <a:p>
          <a:pPr indent="0" lvl="0" marL="0" rtl="0" algn="l">
            <a:spcBef>
              <a:spcPts val="0"/>
            </a:spcBef>
            <a:spcAft>
              <a:spcPts val="0"/>
            </a:spcAft>
            <a:buNone/>
          </a:pPr>
          <a:br>
            <a:rPr b="0" lang="en-US" sz="1100">
              <a:solidFill>
                <a:schemeClr val="dk1"/>
              </a:solidFill>
              <a:latin typeface="Verdana"/>
              <a:ea typeface="Verdana"/>
              <a:cs typeface="Verdana"/>
              <a:sym typeface="Verdana"/>
            </a:rPr>
          </a:br>
          <a:r>
            <a:rPr b="0" i="0" lang="en-US" sz="1100" u="none" strike="noStrike">
              <a:solidFill>
                <a:schemeClr val="dk1"/>
              </a:solidFill>
              <a:latin typeface="Verdana"/>
              <a:ea typeface="Verdana"/>
              <a:cs typeface="Verdana"/>
              <a:sym typeface="Verdana"/>
            </a:rPr>
            <a:t>The Higher Education Cloud Vendor Assessment Tool:</a:t>
          </a:r>
          <a:endParaRPr b="0" sz="1100">
            <a:latin typeface="Verdana"/>
            <a:ea typeface="Verdana"/>
            <a:cs typeface="Verdana"/>
            <a:sym typeface="Verdana"/>
          </a:endParaRPr>
        </a:p>
        <a:p>
          <a:pPr indent="0" lvl="0" marL="0" rtl="0" algn="l">
            <a:spcBef>
              <a:spcPts val="0"/>
            </a:spcBef>
            <a:spcAft>
              <a:spcPts val="0"/>
            </a:spcAft>
            <a:buNone/>
          </a:pPr>
          <a:r>
            <a:rPr b="0" i="0" lang="en-US" sz="1100" u="none" strike="noStrike">
              <a:solidFill>
                <a:schemeClr val="dk1"/>
              </a:solidFill>
              <a:latin typeface="Verdana"/>
              <a:ea typeface="Verdana"/>
              <a:cs typeface="Verdana"/>
              <a:sym typeface="Verdana"/>
            </a:rPr>
            <a:t>● Helps higher education institutions ensure that cloud services are appropriately assessed for security and privacy needs, including some that are unique to higher education</a:t>
          </a:r>
          <a:endParaRPr sz="1400"/>
        </a:p>
        <a:p>
          <a:pPr indent="0" lvl="0" marL="0" rtl="0" algn="l">
            <a:spcBef>
              <a:spcPts val="0"/>
            </a:spcBef>
            <a:spcAft>
              <a:spcPts val="0"/>
            </a:spcAft>
            <a:buNone/>
          </a:pPr>
          <a:r>
            <a:rPr b="0" i="0" lang="en-US" sz="1100">
              <a:solidFill>
                <a:schemeClr val="dk1"/>
              </a:solidFill>
              <a:latin typeface="Verdana"/>
              <a:ea typeface="Verdana"/>
              <a:cs typeface="Verdana"/>
              <a:sym typeface="Verdana"/>
            </a:rPr>
            <a:t>● </a:t>
          </a:r>
          <a:r>
            <a:rPr b="0" i="0" lang="en-US" sz="1100" u="none" strike="noStrike">
              <a:solidFill>
                <a:schemeClr val="dk1"/>
              </a:solidFill>
              <a:latin typeface="Verdana"/>
              <a:ea typeface="Verdana"/>
              <a:cs typeface="Verdana"/>
              <a:sym typeface="Verdana"/>
            </a:rPr>
            <a:t>Allows a consistent, easily-adopted methodology for campuses wishing to reduce costs through cloud services without increasing risks</a:t>
          </a:r>
          <a:endParaRPr sz="1400"/>
        </a:p>
        <a:p>
          <a:pPr indent="0" lvl="0" marL="0" rtl="0" algn="l">
            <a:spcBef>
              <a:spcPts val="0"/>
            </a:spcBef>
            <a:spcAft>
              <a:spcPts val="0"/>
            </a:spcAft>
            <a:buNone/>
          </a:pPr>
          <a:r>
            <a:rPr b="0" i="0" lang="en-US" sz="1100">
              <a:solidFill>
                <a:schemeClr val="dk1"/>
              </a:solidFill>
              <a:latin typeface="Verdana"/>
              <a:ea typeface="Verdana"/>
              <a:cs typeface="Verdana"/>
              <a:sym typeface="Verdana"/>
            </a:rPr>
            <a:t>● </a:t>
          </a:r>
          <a:r>
            <a:rPr b="0" i="0" lang="en-US" sz="1100" u="none" strike="noStrike">
              <a:solidFill>
                <a:schemeClr val="dk1"/>
              </a:solidFill>
              <a:latin typeface="Verdana"/>
              <a:ea typeface="Verdana"/>
              <a:cs typeface="Verdana"/>
              <a:sym typeface="Verdana"/>
            </a:rPr>
            <a:t>Reduces the burden that cloud service providers face in responding to requests for security assessments from higher education institutions</a:t>
          </a:r>
          <a:endParaRPr sz="1400"/>
        </a:p>
        <a:p>
          <a:pPr indent="0" lvl="0" marL="0" rtl="0" algn="l">
            <a:spcBef>
              <a:spcPts val="0"/>
            </a:spcBef>
            <a:spcAft>
              <a:spcPts val="0"/>
            </a:spcAft>
            <a:buNone/>
          </a:pPr>
          <a:br>
            <a:rPr b="0" lang="en-US" sz="1100">
              <a:solidFill>
                <a:schemeClr val="dk1"/>
              </a:solidFill>
              <a:latin typeface="Verdana"/>
              <a:ea typeface="Verdana"/>
              <a:cs typeface="Verdana"/>
              <a:sym typeface="Verdana"/>
            </a:rPr>
          </a:br>
          <a:r>
            <a:rPr b="0" i="0" lang="en-US" sz="1100" u="none" strike="noStrike">
              <a:solidFill>
                <a:schemeClr val="dk1"/>
              </a:solidFill>
              <a:latin typeface="Verdana"/>
              <a:ea typeface="Verdana"/>
              <a:cs typeface="Verdana"/>
              <a:sym typeface="Verdana"/>
            </a:rPr>
            <a:t>The HECVAT</a:t>
          </a:r>
          <a:r>
            <a:rPr b="0" i="0" lang="en-US" sz="1100" u="none" strike="noStrike">
              <a:solidFill>
                <a:schemeClr val="dk1"/>
              </a:solidFill>
              <a:latin typeface="Verdana"/>
              <a:ea typeface="Verdana"/>
              <a:cs typeface="Verdana"/>
              <a:sym typeface="Verdana"/>
            </a:rPr>
            <a:t> </a:t>
          </a:r>
          <a:r>
            <a:rPr b="0" i="0" lang="en-US" sz="1100" u="none" strike="noStrike">
              <a:solidFill>
                <a:schemeClr val="dk1"/>
              </a:solidFill>
              <a:latin typeface="Verdana"/>
              <a:ea typeface="Verdana"/>
              <a:cs typeface="Verdana"/>
              <a:sym typeface="Verdana"/>
            </a:rPr>
            <a:t>was created by the Higher Education Information Security Council Shared Assessments Working Group.  Its purpose is to provide a starting point for the assessment of third-party provided cloud services and resources.  Over time, the Shared Assessments Working Group hopes to create a framework that will establish a community resource where institutions and cloud services providers will share completed Higher Education Cloud Vendor Assessment Tool assessments.</a:t>
          </a:r>
          <a:endParaRPr sz="1400"/>
        </a:p>
        <a:p>
          <a:pPr indent="0" lvl="0" marL="0" rtl="0" algn="l">
            <a:spcBef>
              <a:spcPts val="0"/>
            </a:spcBef>
            <a:spcAft>
              <a:spcPts val="0"/>
            </a:spcAft>
            <a:buNone/>
          </a:pPr>
          <a:r>
            <a:t/>
          </a:r>
          <a:endParaRPr b="0" i="0" sz="1100" u="none" strike="noStrike">
            <a:solidFill>
              <a:schemeClr val="dk1"/>
            </a:solidFill>
            <a:latin typeface="Verdana"/>
            <a:ea typeface="Verdana"/>
            <a:cs typeface="Verdana"/>
            <a:sym typeface="Verdana"/>
          </a:endParaRPr>
        </a:p>
        <a:p>
          <a:pPr indent="0" lvl="0" marL="0" marR="0" rtl="0" algn="ctr">
            <a:lnSpc>
              <a:spcPct val="100000"/>
            </a:lnSpc>
            <a:spcBef>
              <a:spcPts val="0"/>
            </a:spcBef>
            <a:spcAft>
              <a:spcPts val="0"/>
            </a:spcAft>
            <a:buClr>
              <a:schemeClr val="dk1"/>
            </a:buClr>
            <a:buSzPts val="1200"/>
            <a:buFont typeface="Verdana"/>
            <a:buNone/>
          </a:pPr>
          <a:r>
            <a:rPr b="1" lang="en-US" sz="1200">
              <a:solidFill>
                <a:schemeClr val="dk1"/>
              </a:solidFill>
              <a:latin typeface="Verdana"/>
              <a:ea typeface="Verdana"/>
              <a:cs typeface="Verdana"/>
              <a:sym typeface="Verdana"/>
            </a:rPr>
            <a:t>https://www.educause.edu/hecvat</a:t>
          </a:r>
          <a:endParaRPr sz="1400"/>
        </a:p>
        <a:p>
          <a:pPr indent="0" lvl="0" marL="0" rtl="0" algn="ctr">
            <a:spcBef>
              <a:spcPts val="0"/>
            </a:spcBef>
            <a:spcAft>
              <a:spcPts val="0"/>
            </a:spcAft>
            <a:buNone/>
          </a:pPr>
          <a:r>
            <a:rPr b="1" lang="en-US" sz="1200">
              <a:solidFill>
                <a:schemeClr val="dk1"/>
              </a:solidFill>
              <a:latin typeface="Verdana"/>
              <a:ea typeface="Verdana"/>
              <a:cs typeface="Verdana"/>
              <a:sym typeface="Verdana"/>
            </a:rPr>
            <a:t>https://www.ren-isac.net/hecvat</a:t>
          </a:r>
          <a:endParaRPr sz="1400"/>
        </a:p>
        <a:p>
          <a:pPr indent="0" lvl="0" marL="0" rtl="0" algn="l">
            <a:spcBef>
              <a:spcPts val="0"/>
            </a:spcBef>
            <a:spcAft>
              <a:spcPts val="0"/>
            </a:spcAft>
            <a:buNone/>
          </a:pPr>
          <a:br>
            <a:rPr b="0" lang="en-US" sz="1100">
              <a:solidFill>
                <a:schemeClr val="dk1"/>
              </a:solidFill>
              <a:latin typeface="Verdana"/>
              <a:ea typeface="Verdana"/>
              <a:cs typeface="Verdana"/>
              <a:sym typeface="Verdana"/>
            </a:rPr>
          </a:br>
          <a:r>
            <a:rPr b="0" i="0" lang="en-US" sz="1100" u="none" strike="noStrike">
              <a:solidFill>
                <a:schemeClr val="dk1"/>
              </a:solidFill>
              <a:latin typeface="Verdana"/>
              <a:ea typeface="Verdana"/>
              <a:cs typeface="Verdana"/>
              <a:sym typeface="Verdana"/>
            </a:rPr>
            <a:t>(C) EDUCAUSE 2018</a:t>
          </a:r>
          <a:endParaRPr b="0" sz="1100">
            <a:latin typeface="Verdana"/>
            <a:ea typeface="Verdana"/>
            <a:cs typeface="Verdana"/>
            <a:sym typeface="Verdana"/>
          </a:endParaRPr>
        </a:p>
        <a:p>
          <a:pPr indent="0" lvl="0" marL="0" rtl="0" algn="l">
            <a:spcBef>
              <a:spcPts val="0"/>
            </a:spcBef>
            <a:spcAft>
              <a:spcPts val="0"/>
            </a:spcAft>
            <a:buNone/>
          </a:pPr>
          <a:r>
            <a:rPr b="0" i="0" lang="en-US" sz="1100" u="none" strike="noStrike">
              <a:solidFill>
                <a:schemeClr val="dk1"/>
              </a:solidFill>
              <a:latin typeface="Verdana"/>
              <a:ea typeface="Verdana"/>
              <a:cs typeface="Verdana"/>
              <a:sym typeface="Verdana"/>
            </a:rPr>
            <a:t>This work is licensed under a Creative Commons Attribution-Noncommercial-ShareAlike 4.0 International License (CC BY-NC-SA 4.0).</a:t>
          </a:r>
          <a:endParaRPr b="0" sz="1100">
            <a:latin typeface="Verdana"/>
            <a:ea typeface="Verdana"/>
            <a:cs typeface="Verdana"/>
            <a:sym typeface="Verdana"/>
          </a:endParaRPr>
        </a:p>
        <a:p>
          <a:pPr indent="0" lvl="0" marL="0" marR="0" rtl="0" algn="l">
            <a:lnSpc>
              <a:spcPct val="100000"/>
            </a:lnSpc>
            <a:spcBef>
              <a:spcPts val="0"/>
            </a:spcBef>
            <a:spcAft>
              <a:spcPts val="0"/>
            </a:spcAft>
            <a:buSzPts val="1100"/>
            <a:buFont typeface="Verdana"/>
            <a:buNone/>
          </a:pPr>
          <a:br>
            <a:rPr b="0" lang="en-US" sz="1100">
              <a:solidFill>
                <a:schemeClr val="dk1"/>
              </a:solidFill>
              <a:latin typeface="Verdana"/>
              <a:ea typeface="Verdana"/>
              <a:cs typeface="Verdana"/>
              <a:sym typeface="Verdana"/>
            </a:rPr>
          </a:br>
          <a:r>
            <a:rPr b="0" i="0" lang="en-US" sz="1100" u="none" strike="noStrike">
              <a:solidFill>
                <a:schemeClr val="dk1"/>
              </a:solidFill>
              <a:latin typeface="Verdana"/>
              <a:ea typeface="Verdana"/>
              <a:cs typeface="Verdana"/>
              <a:sym typeface="Verdana"/>
            </a:rPr>
            <a:t>This </a:t>
          </a:r>
          <a:r>
            <a:rPr b="0" i="0" lang="en-US" sz="1100">
              <a:solidFill>
                <a:schemeClr val="dk1"/>
              </a:solidFill>
              <a:latin typeface="Verdana"/>
              <a:ea typeface="Verdana"/>
              <a:cs typeface="Verdana"/>
              <a:sym typeface="Verdana"/>
            </a:rPr>
            <a:t>Higher Education Cloud Vendor Assessment Tool </a:t>
          </a:r>
          <a:r>
            <a:rPr b="0" i="0" lang="en-US" sz="1100" u="none" strike="noStrike">
              <a:solidFill>
                <a:schemeClr val="dk1"/>
              </a:solidFill>
              <a:latin typeface="Verdana"/>
              <a:ea typeface="Verdana"/>
              <a:cs typeface="Verdana"/>
              <a:sym typeface="Verdana"/>
            </a:rPr>
            <a:t>is brought to you by the Higher Education Information Security Council, and members from EDUCAUSE, Internet2, and the Research and Education Networking Information Sharing and Analysis Center (REN-ISAC).</a:t>
          </a:r>
          <a:endParaRPr sz="1400"/>
        </a:p>
        <a:p>
          <a:pPr indent="0" lvl="0" marL="0" marR="0" rtl="0" algn="l">
            <a:lnSpc>
              <a:spcPct val="100000"/>
            </a:lnSpc>
            <a:spcBef>
              <a:spcPts val="0"/>
            </a:spcBef>
            <a:spcAft>
              <a:spcPts val="0"/>
            </a:spcAft>
            <a:buSzPts val="1100"/>
            <a:buFont typeface="Arial"/>
            <a:buNone/>
          </a:pPr>
          <a:r>
            <a:t/>
          </a:r>
          <a:endParaRPr b="0" i="0" sz="1100" u="none" strike="noStrike">
            <a:solidFill>
              <a:schemeClr val="dk1"/>
            </a:solidFill>
            <a:latin typeface="Verdana"/>
            <a:ea typeface="Verdana"/>
            <a:cs typeface="Verdana"/>
            <a:sym typeface="Verdana"/>
          </a:endParaRPr>
        </a:p>
      </xdr:txBody>
    </xdr:sp>
    <xdr:clientData fLocksWithSheet="0"/>
  </xdr:oneCellAnchor>
  <xdr:oneCellAnchor>
    <xdr:from>
      <xdr:col>0</xdr:col>
      <xdr:colOff>85725</xdr:colOff>
      <xdr:row>0</xdr:row>
      <xdr:rowOff>85725</xdr:rowOff>
    </xdr:from>
    <xdr:ext cx="2371725" cy="5143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1</xdr:col>
      <xdr:colOff>28575</xdr:colOff>
      <xdr:row>12</xdr:row>
      <xdr:rowOff>142875</xdr:rowOff>
    </xdr:from>
    <xdr:ext cx="5857875" cy="12668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66675</xdr:colOff>
      <xdr:row>15</xdr:row>
      <xdr:rowOff>314325</xdr:rowOff>
    </xdr:from>
    <xdr:ext cx="9010650" cy="866775"/>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0</xdr:col>
      <xdr:colOff>152400</xdr:colOff>
      <xdr:row>0</xdr:row>
      <xdr:rowOff>152400</xdr:rowOff>
    </xdr:from>
    <xdr:ext cx="12363450" cy="4743450"/>
    <xdr:pic>
      <xdr:nvPicPr>
        <xdr:cNvPr id="0" name="image4.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0</xdr:col>
      <xdr:colOff>771525</xdr:colOff>
      <xdr:row>8</xdr:row>
      <xdr:rowOff>0</xdr:rowOff>
    </xdr:from>
    <xdr:ext cx="9877425" cy="7019925"/>
    <xdr:graphicFrame>
      <xdr:nvGraphicFramePr>
        <xdr:cNvPr id="1" name="Chart 1"/>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0</xdr:col>
      <xdr:colOff>76200</xdr:colOff>
      <xdr:row>0</xdr:row>
      <xdr:rowOff>57150</xdr:rowOff>
    </xdr:from>
    <xdr:ext cx="7620000" cy="11325225"/>
    <xdr:sp>
      <xdr:nvSpPr>
        <xdr:cNvPr id="4" name="Shape 4"/>
        <xdr:cNvSpPr txBox="1"/>
      </xdr:nvSpPr>
      <xdr:spPr>
        <a:xfrm>
          <a:off x="1539706" y="0"/>
          <a:ext cx="7612588" cy="7560000"/>
        </a:xfrm>
        <a:prstGeom prst="rect">
          <a:avLst/>
        </a:prstGeom>
        <a:noFill/>
        <a:ln>
          <a:noFill/>
        </a:ln>
      </xdr:spPr>
      <xdr:txBody>
        <a:bodyPr anchorCtr="0" anchor="t" bIns="45700" lIns="91425" spcFirstLastPara="1" rIns="91425" wrap="square" tIns="45700">
          <a:noAutofit/>
        </a:bodyPr>
        <a:lstStyle/>
        <a:p>
          <a:pPr indent="0" lvl="0" marL="0" rtl="0" algn="l">
            <a:spcBef>
              <a:spcPts val="0"/>
            </a:spcBef>
            <a:spcAft>
              <a:spcPts val="0"/>
            </a:spcAft>
            <a:buNone/>
          </a:pPr>
          <a:r>
            <a:t/>
          </a:r>
          <a:endParaRPr b="1" sz="1100">
            <a:solidFill>
              <a:schemeClr val="dk1"/>
            </a:solidFill>
            <a:latin typeface="Helvetica Neue"/>
            <a:ea typeface="Helvetica Neue"/>
            <a:cs typeface="Helvetica Neue"/>
            <a:sym typeface="Helvetica Neue"/>
          </a:endParaRPr>
        </a:p>
        <a:p>
          <a:pPr indent="0" lvl="0" marL="0" rtl="0" algn="ctr">
            <a:spcBef>
              <a:spcPts val="0"/>
            </a:spcBef>
            <a:spcAft>
              <a:spcPts val="0"/>
            </a:spcAft>
            <a:buNone/>
          </a:pPr>
          <a:r>
            <a:t/>
          </a:r>
          <a:endParaRPr b="1" sz="1100">
            <a:solidFill>
              <a:schemeClr val="dk1"/>
            </a:solidFill>
            <a:latin typeface="Helvetica Neue"/>
            <a:ea typeface="Helvetica Neue"/>
            <a:cs typeface="Helvetica Neue"/>
            <a:sym typeface="Helvetica Neue"/>
          </a:endParaRPr>
        </a:p>
        <a:p>
          <a:pPr indent="0" lvl="0" marL="0" rtl="0" algn="ctr">
            <a:spcBef>
              <a:spcPts val="0"/>
            </a:spcBef>
            <a:spcAft>
              <a:spcPts val="0"/>
            </a:spcAft>
            <a:buNone/>
          </a:pPr>
          <a:r>
            <a:t/>
          </a:r>
          <a:endParaRPr b="1" sz="1100">
            <a:solidFill>
              <a:schemeClr val="dk1"/>
            </a:solidFill>
            <a:latin typeface="Helvetica Neue"/>
            <a:ea typeface="Helvetica Neue"/>
            <a:cs typeface="Helvetica Neue"/>
            <a:sym typeface="Helvetica Neue"/>
          </a:endParaRPr>
        </a:p>
        <a:p>
          <a:pPr indent="0" lvl="0" marL="0" rtl="0" algn="ctr">
            <a:spcBef>
              <a:spcPts val="0"/>
            </a:spcBef>
            <a:spcAft>
              <a:spcPts val="0"/>
            </a:spcAft>
            <a:buNone/>
          </a:pPr>
          <a:r>
            <a:rPr b="1" lang="en-US" sz="1400">
              <a:solidFill>
                <a:schemeClr val="dk1"/>
              </a:solidFill>
              <a:latin typeface="Verdana"/>
              <a:ea typeface="Verdana"/>
              <a:cs typeface="Verdana"/>
              <a:sym typeface="Verdana"/>
            </a:rPr>
            <a:t>Acknowledgments</a:t>
          </a:r>
          <a:endParaRPr sz="1400">
            <a:latin typeface="Verdana"/>
            <a:ea typeface="Verdana"/>
            <a:cs typeface="Verdana"/>
            <a:sym typeface="Verdana"/>
          </a:endParaRPr>
        </a:p>
        <a:p>
          <a:pPr indent="0" lvl="0" marL="0" rtl="0" algn="l">
            <a:spcBef>
              <a:spcPts val="0"/>
            </a:spcBef>
            <a:spcAft>
              <a:spcPts val="0"/>
            </a:spcAft>
            <a:buNone/>
          </a:pPr>
          <a:r>
            <a:rPr lang="en-US" sz="1100">
              <a:solidFill>
                <a:schemeClr val="dk1"/>
              </a:solidFill>
              <a:latin typeface="Verdana"/>
              <a:ea typeface="Verdana"/>
              <a:cs typeface="Verdana"/>
              <a:sym typeface="Verdana"/>
            </a:rPr>
            <a:t> </a:t>
          </a:r>
          <a:endParaRPr sz="1100">
            <a:latin typeface="Verdana"/>
            <a:ea typeface="Verdana"/>
            <a:cs typeface="Verdana"/>
            <a:sym typeface="Verdana"/>
          </a:endParaRPr>
        </a:p>
        <a:p>
          <a:pPr indent="0" lvl="0" marL="0" rtl="0" algn="l">
            <a:spcBef>
              <a:spcPts val="0"/>
            </a:spcBef>
            <a:spcAft>
              <a:spcPts val="0"/>
            </a:spcAft>
            <a:buNone/>
          </a:pPr>
          <a:r>
            <a:rPr b="0" i="0" lang="en-US" sz="1100" u="none" strike="noStrike">
              <a:solidFill>
                <a:schemeClr val="dk1"/>
              </a:solidFill>
              <a:latin typeface="Verdana"/>
              <a:ea typeface="Verdana"/>
              <a:cs typeface="Verdana"/>
              <a:sym typeface="Verdana"/>
            </a:rPr>
            <a:t>The Higher Education Information Security Council Shared Assessments Working Group contributed their vision and significant talents to the conception, creation, and completion of this resource. </a:t>
          </a:r>
          <a:endParaRPr sz="1400"/>
        </a:p>
        <a:p>
          <a:pPr indent="0" lvl="0" marL="0" rtl="0" algn="l">
            <a:spcBef>
              <a:spcPts val="0"/>
            </a:spcBef>
            <a:spcAft>
              <a:spcPts val="0"/>
            </a:spcAft>
            <a:buNone/>
          </a:pPr>
          <a:r>
            <a:t/>
          </a:r>
          <a:endParaRPr b="0" i="0" sz="1100" u="none" strike="noStrike">
            <a:solidFill>
              <a:schemeClr val="dk1"/>
            </a:solidFill>
            <a:latin typeface="Verdana"/>
            <a:ea typeface="Verdana"/>
            <a:cs typeface="Verdana"/>
            <a:sym typeface="Verdana"/>
          </a:endParaRPr>
        </a:p>
        <a:p>
          <a:pPr indent="0" lvl="0" marL="0" rtl="0" algn="l">
            <a:spcBef>
              <a:spcPts val="0"/>
            </a:spcBef>
            <a:spcAft>
              <a:spcPts val="0"/>
            </a:spcAft>
            <a:buNone/>
          </a:pPr>
          <a:r>
            <a:t/>
          </a:r>
          <a:endParaRPr b="0" i="0" sz="1100" u="none" strike="noStrike">
            <a:solidFill>
              <a:schemeClr val="dk1"/>
            </a:solidFill>
            <a:latin typeface="Verdana"/>
            <a:ea typeface="Verdana"/>
            <a:cs typeface="Verdana"/>
            <a:sym typeface="Verdana"/>
          </a:endParaRPr>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Members that contributed to Phase III (2018) of this effort are:</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a:t>
          </a:r>
          <a:r>
            <a:rPr b="0" i="0" lang="en-US" sz="1100" u="none" strike="noStrike">
              <a:solidFill>
                <a:schemeClr val="dk1"/>
              </a:solidFill>
              <a:latin typeface="Verdana"/>
              <a:ea typeface="Verdana"/>
              <a:cs typeface="Verdana"/>
              <a:sym typeface="Verdana"/>
            </a:rPr>
            <a:t>  </a:t>
          </a:r>
          <a:r>
            <a:rPr b="0" i="0" lang="en-US" sz="1100" u="none" strike="noStrike">
              <a:solidFill>
                <a:schemeClr val="dk1"/>
              </a:solidFill>
              <a:latin typeface="Verdana"/>
              <a:ea typeface="Verdana"/>
              <a:cs typeface="Verdana"/>
              <a:sym typeface="Verdana"/>
            </a:rPr>
            <a:t>Jon Allen, Baylor University </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a:t>
          </a:r>
          <a:r>
            <a:rPr b="0" i="0" lang="en-US" sz="1100" u="none" strike="noStrike">
              <a:solidFill>
                <a:schemeClr val="dk1"/>
              </a:solidFill>
              <a:latin typeface="Verdana"/>
              <a:ea typeface="Verdana"/>
              <a:cs typeface="Verdana"/>
              <a:sym typeface="Verdana"/>
            </a:rPr>
            <a:t>  </a:t>
          </a:r>
          <a:r>
            <a:rPr b="0" i="0" lang="en-US" sz="1100" u="none" strike="noStrike">
              <a:solidFill>
                <a:schemeClr val="dk1"/>
              </a:solidFill>
              <a:latin typeface="Verdana"/>
              <a:ea typeface="Verdana"/>
              <a:cs typeface="Verdana"/>
              <a:sym typeface="Verdana"/>
            </a:rPr>
            <a:t>Josh Callahan, Humbolt State University</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Susan</a:t>
          </a:r>
          <a:r>
            <a:rPr b="0" i="0" lang="en-US" sz="1100" u="none" strike="noStrike">
              <a:solidFill>
                <a:schemeClr val="dk1"/>
              </a:solidFill>
              <a:latin typeface="Verdana"/>
              <a:ea typeface="Verdana"/>
              <a:cs typeface="Verdana"/>
              <a:sym typeface="Verdana"/>
            </a:rPr>
            <a:t> Coleman</a:t>
          </a:r>
          <a:r>
            <a:rPr b="0" i="0" lang="en-US" sz="1100" u="none" strike="noStrike">
              <a:solidFill>
                <a:schemeClr val="dk1"/>
              </a:solidFill>
              <a:latin typeface="Verdana"/>
              <a:ea typeface="Verdana"/>
              <a:cs typeface="Verdana"/>
              <a:sym typeface="Verdana"/>
            </a:rPr>
            <a:t>, REN-ISAC</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Charles Escue, Indiana University</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Joanna Grama, EDUCAUSE</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Todd Herring, REN-ISAC</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Jefferson Hopkins, Purdue University</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Alex Jalso, West Virginia University</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Nick Lewis, Internet2</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Kim Milford, REN-ISAC</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Amanda Sarratore, University of Notre Dame</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Gary Taylor, York University</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Valerie Vogel, EDUCAUSE</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  Gene Willacker, Michigan State University</a:t>
          </a:r>
          <a:endParaRPr sz="1400"/>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a:t>
          </a:r>
          <a:r>
            <a:rPr b="0" i="0" lang="en-US" sz="1100" u="none" strike="noStrike">
              <a:solidFill>
                <a:schemeClr val="dk1"/>
              </a:solidFill>
              <a:latin typeface="Verdana"/>
              <a:ea typeface="Verdana"/>
              <a:cs typeface="Verdana"/>
              <a:sym typeface="Verdana"/>
            </a:rPr>
            <a:t>  </a:t>
          </a:r>
          <a:r>
            <a:rPr b="0" i="0" lang="en-US" sz="1100" u="none" strike="noStrike">
              <a:solidFill>
                <a:schemeClr val="dk1"/>
              </a:solidFill>
              <a:latin typeface="Verdana"/>
              <a:ea typeface="Verdana"/>
              <a:cs typeface="Verdana"/>
              <a:sym typeface="Verdana"/>
            </a:rPr>
            <a:t>David Zeichick, California State University, Chico</a:t>
          </a:r>
          <a:endParaRPr sz="1400"/>
        </a:p>
        <a:p>
          <a:pPr indent="0" lvl="0" marL="0" marR="0" rtl="0" algn="l">
            <a:lnSpc>
              <a:spcPct val="100000"/>
            </a:lnSpc>
            <a:spcBef>
              <a:spcPts val="0"/>
            </a:spcBef>
            <a:spcAft>
              <a:spcPts val="0"/>
            </a:spcAft>
            <a:buSzPts val="1100"/>
            <a:buFont typeface="Arial"/>
            <a:buNone/>
          </a:pPr>
          <a:r>
            <a:t/>
          </a:r>
          <a:endParaRPr b="0" i="0" sz="1100" u="none" strike="noStrike">
            <a:solidFill>
              <a:schemeClr val="dk1"/>
            </a:solidFill>
            <a:latin typeface="Verdana"/>
            <a:ea typeface="Verdana"/>
            <a:cs typeface="Verdana"/>
            <a:sym typeface="Verdana"/>
          </a:endParaRPr>
        </a:p>
        <a:p>
          <a:pPr indent="0" lvl="0" marL="0" marR="0" rtl="0" algn="l">
            <a:lnSpc>
              <a:spcPct val="100000"/>
            </a:lnSpc>
            <a:spcBef>
              <a:spcPts val="0"/>
            </a:spcBef>
            <a:spcAft>
              <a:spcPts val="0"/>
            </a:spcAft>
            <a:buSzPts val="1100"/>
            <a:buFont typeface="Arial"/>
            <a:buNone/>
          </a:pPr>
          <a:r>
            <a:t/>
          </a:r>
          <a:endParaRPr b="0" i="0" sz="1100" u="none" strike="noStrike">
            <a:solidFill>
              <a:schemeClr val="dk1"/>
            </a:solidFill>
            <a:latin typeface="Verdana"/>
            <a:ea typeface="Verdana"/>
            <a:cs typeface="Verdana"/>
            <a:sym typeface="Verdana"/>
          </a:endParaRPr>
        </a:p>
        <a:p>
          <a:pPr indent="0" lvl="0" marL="0" marR="0" rtl="0" algn="l">
            <a:lnSpc>
              <a:spcPct val="100000"/>
            </a:lnSpc>
            <a:spcBef>
              <a:spcPts val="0"/>
            </a:spcBef>
            <a:spcAft>
              <a:spcPts val="0"/>
            </a:spcAft>
            <a:buClr>
              <a:schemeClr val="dk1"/>
            </a:buClr>
            <a:buSzPts val="1100"/>
            <a:buFont typeface="Verdana"/>
            <a:buNone/>
          </a:pPr>
          <a:r>
            <a:rPr b="0" i="0" lang="en-US" sz="1100" u="none" strike="noStrike">
              <a:solidFill>
                <a:schemeClr val="dk1"/>
              </a:solidFill>
              <a:latin typeface="Verdana"/>
              <a:ea typeface="Verdana"/>
              <a:cs typeface="Verdana"/>
              <a:sym typeface="Verdana"/>
            </a:rPr>
            <a:t>Members that contributed to Phase II (2017) of this effort are:</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Jon Allen, Baylor University </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Samantha</a:t>
          </a:r>
          <a:r>
            <a:rPr b="0" i="0" lang="en-US" sz="1100" u="none" strike="noStrike">
              <a:solidFill>
                <a:schemeClr val="dk1"/>
              </a:solidFill>
              <a:latin typeface="Verdana"/>
              <a:ea typeface="Verdana"/>
              <a:cs typeface="Verdana"/>
              <a:sym typeface="Verdana"/>
            </a:rPr>
            <a:t> Birk, IMS Global Learning Consortium</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Jeff Bohrer, IMS Global Learning Consortium</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Sarah Braun, University of Colorado - Denver</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David Cassada, University of California - Davis</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Matthew Dalton, University of Massachusetts Amherst</a:t>
          </a:r>
          <a:endParaRPr b="0" i="0" sz="1100" u="none" strike="noStrike">
            <a:solidFill>
              <a:schemeClr val="dk1"/>
            </a:solidFill>
            <a:latin typeface="Verdana"/>
            <a:ea typeface="Verdana"/>
            <a:cs typeface="Verdana"/>
            <a:sym typeface="Verdana"/>
          </a:endParaRPr>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Charles Escue, Indiana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Joanna Grama, EDUCAUSE</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Todd Herring, REN-ISAC</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Kolin</a:t>
          </a:r>
          <a:r>
            <a:rPr b="0" i="0" lang="en-US" sz="1100" u="none" strike="noStrike">
              <a:solidFill>
                <a:schemeClr val="dk1"/>
              </a:solidFill>
              <a:latin typeface="Verdana"/>
              <a:ea typeface="Verdana"/>
              <a:cs typeface="Verdana"/>
              <a:sym typeface="Verdana"/>
            </a:rPr>
            <a:t> Hodgson, University of Notre Dame</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Tom Horton, Cornell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Leo Howell, North Carolina State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Alex Jalso, West Virginia University</a:t>
          </a:r>
          <a:endParaRPr b="0" i="0" sz="1100" u="none" strike="noStrike">
            <a:solidFill>
              <a:schemeClr val="dk1"/>
            </a:solidFill>
            <a:latin typeface="Verdana"/>
            <a:ea typeface="Verdana"/>
            <a:cs typeface="Verdana"/>
            <a:sym typeface="Verdana"/>
          </a:endParaRPr>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Nick Lewis, Internet2</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Wyman Miles, Cornell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Kim Milford, REN-ISAC</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Valerie Vogel, EDUCAUSE</a:t>
          </a:r>
          <a:endParaRPr sz="1400"/>
        </a:p>
        <a:p>
          <a:pPr indent="0" lvl="0" marL="0" rtl="0" algn="l">
            <a:spcBef>
              <a:spcPts val="0"/>
            </a:spcBef>
            <a:spcAft>
              <a:spcPts val="0"/>
            </a:spcAft>
            <a:buNone/>
          </a:pPr>
          <a:r>
            <a:t/>
          </a:r>
          <a:endParaRPr sz="1100">
            <a:solidFill>
              <a:schemeClr val="dk1"/>
            </a:solidFill>
            <a:latin typeface="Helvetica Neue"/>
            <a:ea typeface="Helvetica Neue"/>
            <a:cs typeface="Helvetica Neue"/>
            <a:sym typeface="Helvetica Neue"/>
          </a:endParaRPr>
        </a:p>
        <a:p>
          <a:pPr indent="0" lvl="0" marL="0" rtl="0" algn="l">
            <a:spcBef>
              <a:spcPts val="0"/>
            </a:spcBef>
            <a:spcAft>
              <a:spcPts val="0"/>
            </a:spcAft>
            <a:buNone/>
          </a:pPr>
          <a:r>
            <a:t/>
          </a:r>
          <a:endParaRPr i="1" sz="1100"/>
        </a:p>
        <a:p>
          <a:pPr indent="0" lvl="0" marL="0" rtl="0" algn="l">
            <a:spcBef>
              <a:spcPts val="0"/>
            </a:spcBef>
            <a:spcAft>
              <a:spcPts val="0"/>
            </a:spcAft>
            <a:buNone/>
          </a:pPr>
          <a:r>
            <a:rPr b="0" i="0" lang="en-US" sz="1100" u="none" strike="noStrike">
              <a:solidFill>
                <a:schemeClr val="dk1"/>
              </a:solidFill>
              <a:latin typeface="Verdana"/>
              <a:ea typeface="Verdana"/>
              <a:cs typeface="Verdana"/>
              <a:sym typeface="Verdana"/>
            </a:rPr>
            <a:t>Members that contributed to Phase I (2016) of this effort are:</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Jon Allen, Baylor University </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John Bruggeman, Hebrew Union College, Jewish Institute of Religion</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Charles Escue, Indiana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Joanna Grama, EDUCAUSE</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Karl Hassler, University of Delaware </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Todd Herring, REN-ISAC</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Nick Lewis, Internet2</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Kim Milford, REN-ISAC</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Craig Munson, Minnesota State Colleges &amp; Universities</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Mitch Parks, University of Idaho </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Laura Raderman, Carnegie Mellon University</a:t>
          </a:r>
          <a:endParaRPr sz="1400"/>
        </a:p>
        <a:p>
          <a:pPr indent="-171450" lvl="0" marL="171450" rtl="0" algn="l">
            <a:spcBef>
              <a:spcPts val="0"/>
            </a:spcBef>
            <a:spcAft>
              <a:spcPts val="0"/>
            </a:spcAft>
            <a:buClr>
              <a:schemeClr val="dk1"/>
            </a:buClr>
            <a:buSzPts val="1100"/>
            <a:buFont typeface="Arial"/>
            <a:buChar char="•"/>
          </a:pPr>
          <a:r>
            <a:rPr b="0" i="0" lang="en-US" sz="1100" u="none" strike="noStrike">
              <a:solidFill>
                <a:schemeClr val="dk1"/>
              </a:solidFill>
              <a:latin typeface="Verdana"/>
              <a:ea typeface="Verdana"/>
              <a:cs typeface="Verdana"/>
              <a:sym typeface="Verdana"/>
            </a:rPr>
            <a:t>Valerie Vogel, EDUCAUSE</a:t>
          </a:r>
          <a:endParaRPr sz="1400"/>
        </a:p>
        <a:p>
          <a:pPr indent="0" lvl="0" marL="0" rtl="0" algn="l">
            <a:spcBef>
              <a:spcPts val="0"/>
            </a:spcBef>
            <a:spcAft>
              <a:spcPts val="0"/>
            </a:spcAft>
            <a:buNone/>
          </a:pPr>
          <a:r>
            <a:t/>
          </a:r>
          <a:endParaRPr sz="1100"/>
        </a:p>
        <a:p>
          <a:pPr indent="0" lvl="0" marL="0" rtl="0" algn="l">
            <a:spcBef>
              <a:spcPts val="0"/>
            </a:spcBef>
            <a:spcAft>
              <a:spcPts val="0"/>
            </a:spcAft>
            <a:buNone/>
          </a:pPr>
          <a:r>
            <a:t/>
          </a:r>
          <a:endParaRPr sz="1100"/>
        </a:p>
      </xdr:txBody>
    </xdr:sp>
    <xdr:clientData fLocksWithSheet="0"/>
  </xdr:oneCellAnchor>
  <xdr:oneCellAnchor>
    <xdr:from>
      <xdr:col>0</xdr:col>
      <xdr:colOff>85725</xdr:colOff>
      <xdr:row>0</xdr:row>
      <xdr:rowOff>85725</xdr:rowOff>
    </xdr:from>
    <xdr:ext cx="2066925" cy="5048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invalid="1" refreshOnLoad="1">
  <cacheSource type="worksheet">
    <worksheetSource ref="A1:S271" sheet="Questions"/>
  </cacheSource>
  <cacheFields>
    <cacheField name="Order" numFmtId="0">
      <sharedItems containsString="0" containsBlank="1" containsNumber="1" containsInteger="1">
        <n v="1.0"/>
        <n v="2.0"/>
        <n v="3.0"/>
        <n v="4.0"/>
        <m/>
        <n v="5.0"/>
        <n v="6.0"/>
        <n v="7.0"/>
        <n v="8.0"/>
        <n v="9.0"/>
        <n v="10.0"/>
        <n v="11.0"/>
        <n v="12.0"/>
        <n v="13.0"/>
        <n v="14.0"/>
        <n v="15.0"/>
        <n v="16.0"/>
        <n v="17.0"/>
        <n v="18.0"/>
        <n v="19.0"/>
        <n v="20.0"/>
        <n v="21.0"/>
        <n v="22.0"/>
        <n v="23.0"/>
        <n v="24.0"/>
        <n v="25.0"/>
        <n v="26.0"/>
        <n v="27.0"/>
        <n v="28.0"/>
        <n v="29.0"/>
        <n v="30.0"/>
        <n v="31.0"/>
        <n v="32.0"/>
        <n v="33.0"/>
        <n v="34.0"/>
        <n v="35.0"/>
        <n v="36.0"/>
        <n v="37.0"/>
        <n v="38.0"/>
        <n v="39.0"/>
        <n v="40.0"/>
        <n v="41.0"/>
        <n v="42.0"/>
        <n v="43.0"/>
        <n v="44.0"/>
        <n v="45.0"/>
        <n v="46.0"/>
        <n v="47.0"/>
        <n v="48.0"/>
        <n v="49.0"/>
        <n v="50.0"/>
        <n v="51.0"/>
        <n v="52.0"/>
        <n v="53.0"/>
        <n v="54.0"/>
        <n v="55.0"/>
        <n v="56.0"/>
        <n v="57.0"/>
        <n v="58.0"/>
        <n v="59.0"/>
        <n v="60.0"/>
        <n v="61.0"/>
        <n v="62.0"/>
        <n v="63.0"/>
        <n v="64.0"/>
        <n v="65.0"/>
        <n v="66.0"/>
        <n v="67.0"/>
        <n v="68.0"/>
        <n v="69.0"/>
        <n v="70.0"/>
        <n v="71.0"/>
        <n v="72.0"/>
        <n v="73.0"/>
        <n v="74.0"/>
        <n v="75.0"/>
        <n v="76.0"/>
        <n v="77.0"/>
        <n v="78.0"/>
        <n v="79.0"/>
        <n v="80.0"/>
        <n v="81.0"/>
        <n v="82.0"/>
        <n v="83.0"/>
        <n v="84.0"/>
        <n v="85.0"/>
        <n v="86.0"/>
        <n v="87.0"/>
        <n v="88.0"/>
        <n v="89.0"/>
        <n v="90.0"/>
        <n v="91.0"/>
        <n v="92.0"/>
        <n v="93.0"/>
        <n v="94.0"/>
        <n v="95.0"/>
        <n v="96.0"/>
        <n v="97.0"/>
        <n v="98.0"/>
        <n v="99.0"/>
        <n v="100.0"/>
        <n v="101.0"/>
        <n v="102.0"/>
        <n v="103.0"/>
        <n v="104.0"/>
        <n v="105.0"/>
        <n v="106.0"/>
        <n v="107.0"/>
        <n v="108.0"/>
        <n v="109.0"/>
        <n v="110.0"/>
        <n v="111.0"/>
        <n v="112.0"/>
        <n v="113.0"/>
        <n v="114.0"/>
        <n v="115.0"/>
        <n v="116.0"/>
        <n v="117.0"/>
        <n v="118.0"/>
        <n v="119.0"/>
        <n v="120.0"/>
        <n v="121.0"/>
        <n v="122.0"/>
        <n v="123.0"/>
        <n v="124.0"/>
        <n v="125.0"/>
        <n v="126.0"/>
        <n v="127.0"/>
        <n v="128.0"/>
        <n v="129.0"/>
        <n v="130.0"/>
        <n v="131.0"/>
        <n v="132.0"/>
        <n v="133.0"/>
        <n v="134.0"/>
        <n v="135.0"/>
        <n v="136.0"/>
        <n v="137.0"/>
        <n v="138.0"/>
        <n v="139.0"/>
        <n v="140.0"/>
        <n v="141.0"/>
        <n v="142.0"/>
        <n v="143.0"/>
        <n v="144.0"/>
        <n v="145.0"/>
        <n v="146.0"/>
        <n v="147.0"/>
        <n v="148.0"/>
        <n v="149.0"/>
        <n v="150.0"/>
        <n v="151.0"/>
        <n v="152.0"/>
        <n v="153.0"/>
        <n v="154.0"/>
        <n v="155.0"/>
        <n v="156.0"/>
        <n v="157.0"/>
        <n v="158.0"/>
        <n v="159.0"/>
        <n v="160.0"/>
        <n v="161.0"/>
        <n v="162.0"/>
        <n v="163.0"/>
        <n v="164.0"/>
        <n v="165.0"/>
        <n v="166.0"/>
        <n v="167.0"/>
        <n v="168.0"/>
        <n v="169.0"/>
        <n v="170.0"/>
        <n v="171.0"/>
        <n v="172.0"/>
        <n v="173.0"/>
        <n v="174.0"/>
        <n v="175.0"/>
        <n v="176.0"/>
        <n v="177.0"/>
        <n v="178.0"/>
        <n v="179.0"/>
        <n v="180.0"/>
        <n v="181.0"/>
        <n v="182.0"/>
        <n v="183.0"/>
        <n v="184.0"/>
        <n v="185.0"/>
        <n v="186.0"/>
        <n v="187.0"/>
        <n v="188.0"/>
        <n v="189.0"/>
        <n v="190.0"/>
        <n v="191.0"/>
        <n v="192.0"/>
        <n v="193.0"/>
        <n v="194.0"/>
        <n v="195.0"/>
        <n v="196.0"/>
        <n v="197.0"/>
        <n v="198.0"/>
        <n v="199.0"/>
        <n v="200.0"/>
        <n v="201.0"/>
        <n v="202.0"/>
        <n v="203.0"/>
        <n v="204.0"/>
        <n v="205.0"/>
        <n v="206.0"/>
        <n v="207.0"/>
        <n v="208.0"/>
        <n v="209.0"/>
        <n v="210.0"/>
        <n v="211.0"/>
        <n v="212.0"/>
        <n v="213.0"/>
        <n v="214.0"/>
        <n v="215.0"/>
        <n v="216.0"/>
        <n v="217.0"/>
        <n v="218.0"/>
        <n v="219.0"/>
        <n v="220.0"/>
        <n v="221.0"/>
        <n v="222.0"/>
        <n v="223.0"/>
        <n v="224.0"/>
        <n v="225.0"/>
        <n v="226.0"/>
        <n v="227.0"/>
        <n v="228.0"/>
        <n v="229.0"/>
        <n v="230.0"/>
        <n v="231.0"/>
        <n v="232.0"/>
        <n v="233.0"/>
        <n v="234.0"/>
        <n v="235.0"/>
        <n v="236.0"/>
        <n v="237.0"/>
        <n v="238.0"/>
        <n v="239.0"/>
        <n v="240.0"/>
        <n v="241.0"/>
        <n v="242.0"/>
        <n v="243.0"/>
        <n v="244.0"/>
        <n v="245.0"/>
        <n v="246.0"/>
        <n v="247.0"/>
        <n v="248.0"/>
        <n v="249.0"/>
        <n v="250.0"/>
        <n v="251.0"/>
        <n v="252.0"/>
        <n v="253.0"/>
        <n v="254.0"/>
        <n v="255.0"/>
        <n v="256.0"/>
        <n v="257.0"/>
        <n v="258.0"/>
        <n v="259.0"/>
        <n v="260.0"/>
        <n v="261.0"/>
        <n v="262.0"/>
        <n v="263.0"/>
        <n v="264.0"/>
        <n v="265.0"/>
        <n v="266.0"/>
        <n v="267.0"/>
        <n v="268.0"/>
        <n v="269.0"/>
      </sharedItems>
    </cacheField>
    <cacheField name="ID" numFmtId="0">
      <sharedItems containsBlank="1">
        <s v="QUAL-01"/>
        <s v="QUAL-02"/>
        <s v="QUAL-03"/>
        <s v="QUAL-04"/>
        <m/>
        <s v="QUAL-05"/>
        <s v="QUAL-06"/>
        <s v="QUAL-07"/>
        <s v="DOCU-01"/>
        <s v="DOCU-02"/>
        <s v="DOCU-03"/>
        <s v="DOCU-04"/>
        <s v="DOCU-05"/>
        <s v="DOCU-06"/>
        <s v="THRD-01"/>
        <s v="THRD-02"/>
        <s v="THRD-03"/>
        <s v="THRD-04"/>
        <s v="CONS-01"/>
        <s v="CONS-02"/>
        <s v="CONS-03"/>
        <s v="CONS-04"/>
        <s v="CONS-05"/>
        <s v="CONS-06"/>
        <s v=""/>
        <s v="CONS-08"/>
        <s v="APPL-01"/>
        <s v="APPL-02"/>
        <s v="APPL-03"/>
        <s v="APPL-04"/>
        <s v="APPL-05"/>
        <s v="APPL-06"/>
        <s v="APPL-07"/>
        <s v="APPL-08"/>
        <s v="APPL-09"/>
        <s v="APPL-10"/>
        <s v="APPL-11"/>
        <s v="APPL-12"/>
        <s v="APPL-13"/>
        <s v="APPL-14"/>
        <s v="APPL-15"/>
        <s v="APPL-16"/>
        <s v="APPL-17"/>
        <s v="APPL-18"/>
        <s v="AAAI-01"/>
        <s v="AAAI-02"/>
        <s v="AAAI-03"/>
        <s v="AAAI-04"/>
        <s v="AAAI-05"/>
        <s v="AAAI-06"/>
        <s v="AAAI-07"/>
        <s v="AAAI-08"/>
        <s v="AAAI-09"/>
        <s v="AAAI-10"/>
        <s v="AAAI-11"/>
        <s v="AAAI-12"/>
        <s v="AAAI-13"/>
        <s v="AAAI-14"/>
        <s v="AAAI-15"/>
        <s v="AAAI-16"/>
        <s v="AAAI-17"/>
        <s v="BCPL-01"/>
        <s v="BCPL-02"/>
        <s v="BCPL-03"/>
        <s v="BCPL-04"/>
        <s v="BCPL-05"/>
        <s v="BCPL-06"/>
        <s v="BCPL-07"/>
        <s v="BCPL-08"/>
        <s v="BCPL-09"/>
        <s v="BCPL-10"/>
        <s v="BCPL-11"/>
        <s v="BCPL-12"/>
        <s v="CHNG-01"/>
        <s v="CHNG-02"/>
        <s v="CHNG-03"/>
        <s v="CHNG-04"/>
        <s v="CHNG-05"/>
        <s v="CHNG-06"/>
        <s v="CHNG-07"/>
        <s v="CHNG-08"/>
        <s v="CHNG-09"/>
        <s v="CHNG-10"/>
        <s v="CHNG-11"/>
        <s v="CHNG-12"/>
        <s v="CHNG-13"/>
        <s v="CHNG-14"/>
        <s v="CHNG-15"/>
        <s v="DATA-01"/>
        <s v="DATA-02"/>
        <s v="DATA-03"/>
        <s v="DATA-04"/>
        <s v="DATA-05"/>
        <s v="DATA-06"/>
        <s v="DATA-07"/>
        <s v="DATA-08"/>
        <s v="DATA-09"/>
        <s v="DATA-10"/>
        <s v="DATA-11"/>
        <s v="DATA-12"/>
        <s v="DATA-13"/>
        <s v="DATA-14"/>
        <s v="DATA-15"/>
        <s v="DATA-16"/>
        <s v="DATA-17"/>
        <s v="DATA-18"/>
        <s v="DATA-20"/>
        <s v="DATA-21"/>
        <s v="DATA-22"/>
        <s v="DATA-23"/>
        <s v="DATA-24"/>
        <s v="DATA-25"/>
        <s v="DATA-26"/>
        <s v="DATA-27"/>
        <s v="DATA-28"/>
        <s v="DBAS-01"/>
        <s v="DBAS-02"/>
        <s v="DCTR-01"/>
        <s v="DCTR-02"/>
        <s v="DCTR-03"/>
        <s v="DCTR-04"/>
        <s v="DCTR-05"/>
        <s v="DCTR-06"/>
        <s v="DCTR-07"/>
        <s v="DCTR-08"/>
        <s v="DCTR-09"/>
        <s v="DCTR-11"/>
        <s v="DCTR-12"/>
        <s v="DCTR-13"/>
        <s v="DCTR-14"/>
        <s v="DCTR-15"/>
        <s v="DCTR-16"/>
        <s v="DCTR-17"/>
        <s v="DCTR-18"/>
        <s v="DCTR-19"/>
        <s v="DRPL-01"/>
        <s v="DRPL-02"/>
        <s v="DRPL-03"/>
        <s v="DRPL-04"/>
        <s v="DRPL-05"/>
        <s v="DRPL-07"/>
        <s v="DRPL-08"/>
        <s v="DRPL-09"/>
        <s v="DRPL-10"/>
        <s v="DRPL-11"/>
        <s v="DRPL-12"/>
        <s v="DRPL-13"/>
        <s v="DRPL-14"/>
        <s v="FIDP-01"/>
        <s v="FIDP-02"/>
        <s v="FIDP-03"/>
        <s v="FIDP-04"/>
        <s v="FIDP-05"/>
        <s v="FIDP-06"/>
        <s v="FIDP-07"/>
        <s v="FIDP-08"/>
        <s v="FIDP-09"/>
        <s v="FIDP-10"/>
        <s v="FIDP-11"/>
        <s v="FIDP-12"/>
        <s v="MAPP-01"/>
        <s v="MAPP-02"/>
        <s v="MAPP-03"/>
        <s v="MAPP-04"/>
        <s v="MAPP-05"/>
        <s v="MAPP-06"/>
        <s v="MAPP-07"/>
        <s v="MAPP-08"/>
        <s v="MAPP-09"/>
        <s v="MAPP-10"/>
        <s v="MAPP-11"/>
        <s v="PHYS-01"/>
        <s v="PHYS-02"/>
        <s v="PHYS-03"/>
        <s v="PHYS-04"/>
        <s v="PHYS-05"/>
        <s v="PPPR-01"/>
        <s v="PPPR-02"/>
        <s v="PPPR-03"/>
        <s v="PPPR-04"/>
        <s v="PPPR-05"/>
        <s v="PPPR-06"/>
        <s v="PPPR-07"/>
        <s v="PPPR-08"/>
        <s v="PPPR-09"/>
        <s v="PPPR-10"/>
        <s v="PPPR-11"/>
        <s v="PPPR-12"/>
        <s v="PPPR-13"/>
        <s v="PPPR-14"/>
        <s v="PPPR-15"/>
        <s v="PPPR-16"/>
        <s v="PPPR-17"/>
        <s v="PPPR-18"/>
        <s v="PPPR-19"/>
        <s v="PPPR-20"/>
        <s v="PROD-01"/>
        <s v="PROD-02"/>
        <s v="QLAS-01"/>
        <s v="QLAS-02"/>
        <s v="QLAS-03"/>
        <s v="QLAS-04"/>
        <s v="QLAS-05"/>
        <s v="SYST-01"/>
        <s v="SYST-02"/>
        <s v="SYST-03"/>
        <s v="SYST-04"/>
        <s v="VULN-01"/>
        <s v="VULN-02"/>
        <s v="VULN-03"/>
        <s v="VULN-04"/>
        <s v="VULN-05"/>
        <s v="VULN-06"/>
        <s v="VULN-07"/>
        <s v="VULN-08"/>
        <s v="VULN-09"/>
        <s v="HIPA-01"/>
        <s v="HIPA-02"/>
        <s v="HIPA-03"/>
        <s v="HIPA-04"/>
        <s v="HIPA-05"/>
        <s v="HIPA-06"/>
        <s v="HIPA-07"/>
        <s v="HIPA-08"/>
        <s v="HIPA-09"/>
        <s v="HIPA-10"/>
        <s v="HIPA-11"/>
        <s v="HIPA-12"/>
        <s v="HIPA-13"/>
        <s v="HIPA-14"/>
        <s v="HIPA-15"/>
        <s v="HIPA-16"/>
        <s v="HIPA-17"/>
        <s v="HIPA-18"/>
        <s v="HIPA-19"/>
        <s v="HIPA-20"/>
        <s v="HIPA-21"/>
        <s v="HIPA-22"/>
        <s v="HIPA-23"/>
        <s v="HIPA-24"/>
        <s v="HIPA-25"/>
        <s v="HIPA-26"/>
        <s v="HIPA-27"/>
        <s v="HIPA-28"/>
        <s v="HIPA-29"/>
        <s v="HIPA-30"/>
        <s v="HIPA-31"/>
        <s v="HIPA-32"/>
        <s v="PCID-01"/>
        <s v="PCID-02"/>
        <s v="PCID-03"/>
        <s v="PCID-04"/>
        <s v="PCID-05"/>
        <s v="PCID-06"/>
        <s v="PCID-07"/>
        <s v="PCID-08"/>
        <s v="PCID-09"/>
        <s v="PCID-10"/>
        <s v="PCID-11"/>
        <s v="PCID-12"/>
        <s v="COMP-01"/>
        <s v="COMP-02"/>
        <s v="COMP-03"/>
        <s v="COMP-04"/>
        <s v="COMP-05"/>
        <s v="COMP-06"/>
        <s v="COMP-07"/>
      </sharedItems>
    </cacheField>
    <cacheField name="Question" numFmtId="0">
      <sharedItems containsBlank="1">
        <s v="Does your product process protected health information (PHI) or any data covered by the Health Insurance Portability and Accountability Act?"/>
        <s v="Does the vended product host/support a mobile application? (e.g. app)"/>
        <s v="Will institution data be shared with or hosted by any third parties? (e.g. any entity not wholly-owned by your company is considered a third-party)"/>
        <s v="Do you have a Business Continuity Plan (BCP)?"/>
        <m/>
        <s v="Do you have a Disaster Recovery Plan (DRP)?"/>
        <s v="Will data regulated by PCI DSS reside in the vended product?"/>
        <s v="Is your company a consulting firm providing only consultation to the Institution?"/>
        <s v="Have you undergone a SSAE 16 audit?"/>
        <s v="Have you completed the Cloud Security Alliance (CSA) self assessment or CAIQ?"/>
        <s v="Have you received the Cloud Security Alliance STAR certification?"/>
        <s v="Do you conform with a specific industry standard security framework? (e.g. NIST Cybersecurity Framework, ISO 27001, etc.)"/>
        <s v="Are you compliant with FISMA standards?"/>
        <s v="Does your organization have a data privacy policy?"/>
        <s v="Describe how you perform security assessments of third party companies with which you share data (i.e. hosting providers, cloud services, PaaS, IaaS, SaaS, etc.). Provide a summary of your practices that assures that the third party will be subject to the"/>
        <s v="Provide a brief description for why each of these third parties will have access to institution data."/>
        <s v="What legal agreements (i.e. contracts) do you have in place with these third parties that address liability in the event of a data breach?"/>
        <s v="Describe or provide references to your third party management strategy or provide additional information that may help analysts better understand your environment and how it relates to third-party solutions."/>
        <s v="Will the consulting take place on-premises?"/>
        <s v="Will the consultant require access to Institution's network resources?"/>
        <s v="Will the consultant require access to hardware in the Institution's data centers?"/>
        <s v="Will the consultant require an account within the Institution's domain (@*.edu)?"/>
        <s v="Has the consultant received training on [sensitive, HIPAA, PCI, etc.] data handling?"/>
        <s v="Will any data be transferred to the consultant's possession?"/>
        <e v="#N/A"/>
        <s v="Will the consultant need remote access to the Institution's network or systems?"/>
        <s v="Do you support role-based access control (RBAC) for end-users?"/>
        <s v="Do you support role-based access control (RBAC) for system administrators?"/>
        <s v="Can employees access customer data remotely?"/>
        <s v="Can you provide overall system and/or application architecture diagrams including a full description of the data communications architecture for all components of the system?"/>
        <s v="Does the system provide data input validation and error messages? "/>
        <s v="Do you employ a single-tenant environment? "/>
        <s v="What operating system(s) is/are leveraged by the system(s)/application(s) that will have access to institution's data?"/>
        <s v="Have you or any third party you contract with that may have access or allow access to the institution's data experienced a breach?"/>
        <s v="Describe or provide a reference to additional software/products necessary to implement a functional system on either the backend or user-interface side of the system. "/>
        <s v="Describe or provide a reference to the overall system and/or application architecture(s), including appropriate diagrams. Include a full description of the data communications architecture for all components of the system. "/>
        <s v="Are databases used in the system segregated from front-end systems? (e.g. web and application servers)"/>
        <s v="Describe or provide a reference to all web-enabled features and functionality of the system (i.e. accessed via a web-based interface). "/>
        <s v="Are there any OS and/or web-browser combinations that are not currently supported?"/>
        <s v="Can your system take advantage of mobile and/or GPS enabled mobile devices?  "/>
        <s v="Describe or provide a reference to the facilities available in the system to provide separation of duties between security administration and system administration functions."/>
        <s v="Describe or provide a reference that details how administrator access is handled (e.g. provisioning, principle of least privilege, deprovisioning, etc.)"/>
        <s v="Describe or provide references explaining how tertiary services are redundant (i.e. DNS, ISP, etc…)."/>
        <s v="Can you enforce password/passphrase aging requirements?"/>
        <s v="Can you enforce password/passphrase complexity requirements [provided by the institution]?"/>
        <s v="Does the system have password complexity or length limitations and/or restrictions?"/>
        <s v="Do you have documented password/passphrase reset procedures that are currently implemented in the system and/or customer support?"/>
        <s v="Does your web-based interface support authentication, including standards-based single-sign-on? (e.g. InCommon)"/>
        <s v="Are there any passwords/passphrases hard coded into your systems or products?"/>
        <s v="Are user account passwords/passphrases visible in administration modules?"/>
        <s v="Are user account passwords/passphrases stored encrypted?"/>
        <s v="Does your application and/or user-frontend/portal support multi-factor authentication? (e.g. Duo, Google Authenticator, OTP, etc.)"/>
        <s v="Does your application support integration with other authentication and authorization systems?  List which ones (such as Active Directory, Kerberos and what version) in Additional Info?"/>
        <s v="Will any external authentication or authorization system be utilized by an application with access to the institution's data?"/>
        <s v="Does the system (servers/infrastructure) support external authentication services (e.g. Active Directory, LDAP) in place of local authentication?"/>
        <s v="Does the system operate in a mixed authentication mode (i.e. external and local authentication)?"/>
        <s v="Will any external authentication or authorization system be utilized by a system with access to institution data?"/>
        <s v="Are audit logs available that include AT LEAST all of the following; login, logout, actions performed, and source IP address?"/>
        <s v="Describe or provide a reference to the a) system capability to log security/authorization changes as well as user and administrator security events (i.e. physical or electronic)(e.g. login failures, access denied, changes accepted), and b) all requirement"/>
        <s v="Describe or provide a reference to the retention period for those logs, how logs are protected, and whether they are accessible to the customer (and if so, how)."/>
        <s v="Describe or provide a reference to your Business Continuity Plan (BCP)."/>
        <s v="May the Institution review your BCP and supporting documentation?"/>
        <s v="Is an owner assigned who is responsible for the maintenance and review of the Business Continuity Plan?"/>
        <s v="Is there a defined problem/issue escalation plan in your BCP for impacted clients?"/>
        <s v="Is there a documented communication plan in your BCP for impacted clients?"/>
        <s v="Are all components of the BCP reviewed at least annually and updated as needed to reflect change? "/>
        <s v="Has your BCP been tested in the last year? "/>
        <s v="Does your organization conduct training and awareness activities to validate its employees understanding of their roles and responsibilities during a crisis?"/>
        <s v="Are specific crisis management roles and responsibilities defined and documented?"/>
        <s v="Does your organization have an alternative business site or a contracted Business Recovery provider?"/>
        <s v="Does your organization conduct an annual test of relocating to an alternate site for business recovery purposes?"/>
        <s v="Is this product a core service of your organization, and as such, the top priority during business continuity planning?"/>
        <s v="Do you have a documented and currently followed change management process (CMP)? "/>
        <s v="Indicate all procedures that are implemented in your CMP. a.) An impact analysis of the upgrade is performed.  b.) The change is appropriately authorized. c.) Changes are made first in a test environment. d.) The ability to implement the upgrades/changes "/>
        <s v="Will the Institution be notified of major changes to your environment that could impact the Institution's security posture?"/>
        <s v="Do clients have the option to not participate in or postpone an upgrade to a new release?"/>
        <s v="Describe or provide a reference to your solution support strategy in relation to maintaining software currency. (i.e. how many concurrent versions are you willing to run and support?)"/>
        <s v="Identify the most current version of the software. Detail the percentage of live customers that are utilizing the proposed version of the software as well as each version of the software currently in use."/>
        <s v="Does the system support client customizations from one release to another?"/>
        <s v="Does your organization ensure through policy and procedure (that is currently implemented) that only application software verifiable as authorized, tested, and approved for production, and having met all other requirements and reviews necessary for commis"/>
        <s v="Do you have a release schedule for product updates?"/>
        <s v="Do you have a technology roadmap, for the next 2 years, for enhancements and bug fixes for the product/service being assessed?"/>
        <s v="Is Institution involvement (i.e. technically or organizationally) required during product updates?"/>
        <s v="Do you have policy and procedure, currently implemented, managing how critical patches are applied to all systems and applications?"/>
        <s v="Do you have policy and procedure, currently implemented, guiding how security risks are mitigated until patches can be applied?"/>
        <s v="Are upgrades or system changes installed during off-peak hours or in a manner that does not impact the customer?"/>
        <s v="Do procedures exist to provide that emergency changes are documented and authorized (including after the fact approval)?"/>
        <s v="Do you physically and logically separate Institution's data from that of other customers?"/>
        <s v="Will Institution's data be stored on any devices (database servers, file servers, SAN, NAS, …) configured with non-RFC 1918/4193 (i.e. publicly routable) IP addresses?"/>
        <s v="Is sensitive data encrypted in transport? (e.g. system-to-client)"/>
        <s v="Is sensitive data encrypted in storage (e.g. disk encryption, at-rest)?"/>
        <s v="Do you employ or allow any cryptographic modules that do not conform to the Federal Information Processing Standards (FIPS PUB 140-2)?"/>
        <s v="Does your system employ encryption technologies when transmitting sensitive information over TCP/IP networks (e.g., SSH, SSL/TLS, VPN)? (e.g. system-to-system and system-to-client)"/>
        <s v="List all locations (i.e. city + datacenter name) where the institution's data will be stored?"/>
        <s v="At the completion of this contract, will data be returned to the institution?"/>
        <s v="Will the institution's data be available within the system for a period of time at the completion of this contract?"/>
        <s v="Can the institution extract a full backup of data?"/>
        <s v="Are ownership rights to all data, inputs, outputs, and metadata retained by the institution?"/>
        <s v="Are these rights retained even through a provider acquisition or bankruptcy event?"/>
        <s v="In the event of imminent bankruptcy, closing of business, or retirement of service, will you provide 90 days for customers to get their data out of the system and migrate applications?"/>
        <s v="Describe or provide a reference to the backup processes for the servers on which the service and/or data resides. "/>
        <s v="Are backup copies made according to pre-defined schedules and securely stored and protected?"/>
        <s v="How long are data backups stored?"/>
        <s v="Are data backups encrypted?"/>
        <s v="Do you have a cryptographic key management process (generation, exchange, storage, safeguards, use, vetting, and replacement), that is documented and currently implemented, for all system components? (e.g. database, system, web, etc.)"/>
        <s v="Are you performing off site backups? (i.e. digitally moved off site)"/>
        <s v="Are physical backups taken off site? (i.e. physically moved off site)"/>
        <s v="Do backups containing the institution's data ever leave the Institution's Data Zone either physically or via network routing?"/>
        <s v="Do you have a media handling process, that is documented and currently implemented, including end-of-life, repurposing, and data sanitization procedures?"/>
        <s v="Does the process described in DATA-23 adhere to DoD 5220.22-M and/or NIST SP 800-88 standards?"/>
        <s v="Do procedures exist to ensure that retention and destruction of data meets established business and regulatory requirements?"/>
        <s v="Is media used for long-term retention of business data and archival purposes stored in a secure, environmentally protected area?"/>
        <s v="Will you handle data in a FERPA compliant manner?"/>
        <s v="Is any institution data visible in system administration modules/tools?"/>
        <s v="Does the database support encryption of specified data elements in storage?"/>
        <s v="Do you currently use encryption in your database(s)?"/>
        <s v="Does your company own the physical data center where the Institution's data will reside?"/>
        <s v="Does the hosting provider have a SOC 2 Type 2 report available?"/>
        <s v="Are the data centers staffed 24 hours a day, seven days a week (i.e 24x7x365)?"/>
        <s v="Do any of your servers reside in a co-located data center?"/>
        <s v="Are your servers separated from other companies via a physical barrier, such as a cage or hardened walls?"/>
        <s v="Does a physical barrier fully enclose the physical space preventing unauthorized physical contact with any of your devices?"/>
        <s v="Select the option that best describes the network segment that servers are connected to."/>
        <s v="Does this data center operate outside of the Institution's Data Zone?"/>
        <s v="Will any institution data leave the Institution's Data Zone?"/>
        <s v="Are your primary and secondary data centers geographically diverse?"/>
        <s v="If outsourced or co-located, is there a contract in place to prevent data from leaving the Institution's Data Zone?"/>
        <s v="What Tier Level is your data center (per levels defined by the Uptime Institute)?"/>
        <s v="Is the service hosted in a high availability environment?"/>
        <s v="Is redundant power available for all datacenters where institution data will reside? "/>
        <s v="Are redundant power strategies tested?"/>
        <s v="Describe or provide a reference to the availability of cooling and fire suppression systems in all datacenters where institution data will reside."/>
        <s v="State how many Internet Service Providers (ISPs) provide connectivity to each datacenter where the institution's data will reside. "/>
        <s v="Does every datacenter where the Institution's data will reside have multiple telephone company or network provider entrances to the facility?"/>
        <s v="Describe or provide a reference to your Disaster Recovery Plan (DRP)."/>
        <s v="Is an owner assigned who is responsible for the maintenance and review of the DRP?"/>
        <s v="Can the Institution review your DRP and supporting documentation?"/>
        <s v="Are any disaster recovery locations outside the Institution's Data Zone?"/>
        <s v="Does your organization have a disaster recovery site or a contracted Disaster Recovery provider?"/>
        <s v="Is there a defined problem/issue escalation plan in your DRP for impacted clients?"/>
        <s v="Is there a documented communication plan in your DRP for impacted clients?"/>
        <s v="Describe or provide a reference to how your disaster recovery plan is tested? (i.e. scope of DR tests, end-to-end testing, etc.)"/>
        <s v="Has the Disaster Recovery Plan been tested in the last year?  Please provide a summary of the results in Additional Information (including actual recovery time)."/>
        <s v="Do the documented test results identify your organizations actual recovery time capabilities for technology and facilities?"/>
        <s v="Are all components of the DRP reviewed at least annually and updated as needed to reflect change? "/>
        <s v="Do you carry cyber-risk insurance to protect against unforeseen service outages, data that is lost or stolen, and security incidents?"/>
        <s v="Are you utilizing a web application firewall (WAF)?"/>
        <s v="Are you utilizing a stateful packet inspection (SPI) firewall?"/>
        <s v="State and describe who has the authority to change firewall rules?"/>
        <s v="Do you have a documented policy for firewall change requests?"/>
        <s v="Have you implemented an Intrusion Detection System (network-based)?"/>
        <s v="Have you implemented an Intrusion Prevention System (network-based)?"/>
        <s v="Do you employ host-based intrusion detection?"/>
        <s v="Do you employ host-based intrusion prevention?"/>
        <s v="Are you employing any next-generation persistent threat (NGPT) monitoring?"/>
        <s v="Do you monitor for intrusions on a 24x7x365 basis?"/>
        <s v="Is intrusion monitoring performed internally or by a third-party service?"/>
        <s v="Are audit logs available for all changes to the network, firewall, IDS, and IPS systems?"/>
        <s v="On which mobile operating systems is your software or service supported?"/>
        <s v="Describe or provide a reference to the application's architecture and functionality."/>
        <s v="Is the application available from a trusted source (e.g., iTunes App Store, Android Market, BB World)?"/>
        <s v="Does the application store, process, or transmit critical data?"/>
        <s v="Is Institution's data encrypted in transport?"/>
        <s v="Is Institution's data encrypted in storage? (e.g. disk encryption, at-rest)"/>
        <s v="Does the mobile application support Kerberos, CAS, or Active Directory authentication?"/>
        <s v="Will any of these systems be implemented on systems hosting the Institution's data?"/>
        <s v="Does the application adhere to secure coding practices (e.g. OWASP, etc.)?"/>
        <s v="Has the application been tested for vulnerabilities by a third party?"/>
        <s v="State the party that performed the vulnerability test and the date it was conducted?"/>
        <s v="Does your organization have physical security controls and policies in place?"/>
        <s v="Are employees allowed to take home Institution's data in any form?"/>
        <s v="Are video monitoring feeds retained?"/>
        <s v="Are video feeds monitored by datacenter staff?"/>
        <s v="Are individuals required to sign in/out for installation and removal of equipment?"/>
        <s v="Can you share the organization chart, mission statement, and policies for your information security unit?"/>
        <s v="Do you have a documented patch management process?"/>
        <s v="Can you accommodate encryption requirements using open standards?"/>
        <s v="Have your developers been trained in secure coding techniques?"/>
        <s v="Was your application developed using secure coding techniques?"/>
        <s v="Do you subject your code to static code analysis and/or static application security testing prior to release?"/>
        <s v="Do you have software testing processes (dynamic or static) that are established and followed?"/>
        <s v="Are information security principles designed into the product lifecycle?"/>
        <s v="Do you have a documented systems development life cycle (SDLC)?"/>
        <s v="Do you have a formal incident response plan?"/>
        <s v="Will you comply with applicable breach notification laws?"/>
        <s v="Will you comply with the Institution's IT policies with regards to user privacy and data protection?"/>
        <s v="Is your company subject to Institution's Data Zone laws and regulations?"/>
        <s v="Do you perform background screenings or multi-state background checks on all employees prior to their first day of work?"/>
        <s v="Do you require new employees to fill out agreements and review policies?  "/>
        <s v="Do you have documented information security policy?"/>
        <s v="Do you have an information security awareness program?"/>
        <s v="Is security awareness training mandatory for all employees?"/>
        <s v="Do you have process and procedure(s) documented, and currently followed, that require a review and update of the access-list(s) for privileged accounts?"/>
        <s v="Do you have documented, and currently implemented, internal audit processes and procedures?"/>
        <s v="Do you incorporate customer feedback into security feature requests?"/>
        <s v="Can you provide an evaluation site to the institution for testing?"/>
        <s v="Provide a general summary of your Quality Assurance program."/>
        <s v="Do you comply with ISO 9001?"/>
        <s v="Will your company provide quality and performance metrics in relation to the scope of services and performance expectations for the services you are offering?"/>
        <s v="Have you supplied products and/or services to the Institution (or its Campuses) in the last five years?"/>
        <s v="Do you have a program to keep your customers abreast of higher education and/or industry issues?"/>
        <s v="Are systems that support this service managed via a separate management network?"/>
        <s v="Do you have an implemented system configuration management process? (e.g. secure &quot;gold&quot; images, etc.)"/>
        <s v="Are employee mobile devices managed by your company's Mobile Device Management (MDM) platform?"/>
        <s v="Do you have a systems management and configuration strategy that encompasses servers, appliances, and mobile devices (company and employee owned)?"/>
        <s v="Are your applications scanned externally for vulnerabilities?"/>
        <s v="Have your applications had an external vulnerability assessment in the last year?"/>
        <s v="Are your applications scanned for vulnerabilities prior to new releases?"/>
        <s v="Are your systems scanned externally for vulnerabilities?"/>
        <s v="Have your systems had an external vulnerability assessment in the last year?"/>
        <s v="Describe or provide a reference to the tool(s) used to scan for vulnerabilities in your applications and systems."/>
        <s v="Will you provide results of security scans to the Institution?"/>
        <s v="Describe or provide a reference to how you monitor for and protect against common web application security vulnerabilities (e.g. SQL injection, XSS, XSRF, etc.)."/>
        <s v="Will you allow the institution to perform its own security testing of your systems and/or application provided that testing is performed at a mutually agreed upon time and date?"/>
        <s v="Do your workforce members receive regular training related to the HIPAA Privacy and Security Rules and the HITECH Act?"/>
        <s v="Do you monitor or receive information regarding changes in HIPAA regulations?"/>
        <s v="Has your organization designated HIPAA Privacy and Security officers as required by the Rules?"/>
        <s v="Do you comply with the requirements of the Health Information Technology for Economic and Clinical Health Act (HITECH)?"/>
        <s v="Do you have an incident response process and reporting in place to investigate any potential incidents and report actual incidents?"/>
        <s v="Do you have a plan to comply with the Breach Notification requirements if there is a breach of data?"/>
        <s v="Have you conducted a risk analysis as required under the Security Rule?"/>
        <s v="Have you identified areas of risks?"/>
        <s v="Have you taken actions to mitigate the identified risks?"/>
        <s v="Does your application require user and system administrator password changes at a frequency no greater than 90 days?"/>
        <s v="Does your application require a user to set their own password after an administrator reset or on first use of the account?"/>
        <s v="Does your application lock-out an account after a number of failed login attempts? "/>
        <s v="Does your application automatically lock or log-out an account after a period of inactivity?"/>
        <s v="Are passwords visible in plain text, whether when stored or entered, including service level accounts (i.e. database accounts, etc.)?"/>
        <s v="If the application is institution-hosted, can all service level and administrative account passwords be changed by the institution?"/>
        <s v="Does your application provide the ability to define user access levels?"/>
        <s v="Does your application support varying levels of access to administrative tasks defined individually per user?"/>
        <s v="Does your application support varying levels of access to records based on user ID?"/>
        <s v="Is there a limit to the number of groups a user can be assigned?"/>
        <s v="Do accounts used for vendor supplied remote support abide by the same authentication policies and access logging as the rest of the system?"/>
        <s v="Does the application log record access including specific user, date/time of access, and originating IP or device? "/>
        <s v="Does the application log administrative activity, such user account access changes and password changes, including specific user, date/time of changes, and originating IP or device?"/>
        <s v="How long does the application keep access/change logs?"/>
        <s v="Can the application logs be archived? "/>
        <s v="Can the application logs be saved externally? "/>
        <s v="Does your data backup and retention policies and practices meet HIPAA requirements?"/>
        <s v="Do you have a disaster recovery plan and emergency mode operation plan?"/>
        <s v="Have the policies/plans mentioned above been tested?"/>
        <s v="Can you provide a HIPAA compliance attestation document?"/>
        <s v="Are you willing to enter into a Business Associate Agreement (BAA)?"/>
        <s v="Have you entered into a BAA with all subcontractors who may have access to protected health information (PHI)?"/>
        <s v="Do your systems or products store, process, or transmit cardholder (payment/credit/debt card) data?"/>
        <s v="Are you compliant with the Payment Card Industry Data Security Standard (PCI DSS)?"/>
        <s v="Do you have a current, executed within the past year, Attestation of Compliance (AoC) or Report on Compliance (RoC)?"/>
        <s v="Are you classified as a service provider?"/>
        <s v="Are you on the list of VISA approved service providers? "/>
        <s v="Are you classified as a merchant?  If so, what level (1, 2, 3, 4)?"/>
        <s v="Describe the architecture employed by the system to verify and authorize credit card transactions."/>
        <s v="What payment processors/gateways does the system support? "/>
        <s v="Can the application be installed in a PCI DSS compliant manner ?"/>
        <s v="Is the application listed as an approved PA-DSS application? "/>
        <s v="Does the system or products use a third party to collect, store, process, or transmit cardholder (payment/credit/debt card) data?"/>
        <s v="Include documentation describing the systems' abilities to comply with the PCI DSS and any features or capabilities of the system that must be added or changed in order to operate in compliance with the standards. "/>
        <s v="Describe your organization’s business background and ownership structure, including all parent and subsidiary relationships."/>
        <s v="Describe how long your organization has conducted business in this product area."/>
        <s v="Do you have existing higher education customers?"/>
        <s v="Have you had a significant breach in the last 5 years?"/>
        <s v="Do you have a dedicated Information Security staff or office?"/>
        <s v="Do you have a dedicated Software and System Development team(s)? (e.g. Customer Support, Implementation, Product Management, etc.)"/>
        <s v="Use this area to share information about your environment that will assist those who are assessing your company data security program."/>
      </sharedItems>
    </cacheField>
    <cacheField name="Additional Info" numFmtId="0">
      <sharedItems containsBlank="1">
        <m/>
        <s v="SSAE Audit targeted for August 2019"/>
        <s v="No plans at this point"/>
        <s v="We are working to be compliant with ISO 27001 by end of Q3"/>
        <s v="Data privacy policy is outlined in agreement"/>
        <e v="#N/A"/>
        <s v="See System Diagram Tab"/>
        <s v="Database cluster is segregated on separate vm. "/>
        <s v="https encryption, SSO enabled"/>
        <s v="SSO SAML 2.0"/>
        <s v="We support google and SMS"/>
        <s v="We can support LDAP but we prefer SSO"/>
        <s v="Only under NDA."/>
        <s v="CTO is responsible for the creation, review, and updation of the BCP"/>
        <s v="Affected clients will be notified within 24 hours of interventions taken per BCP"/>
        <s v="Quarterly and on demand as needed"/>
        <s v="March 2019. Successfully passed automatic failover to second Google Region. "/>
        <s v="Roles and responsibilities during crisis are defined"/>
        <s v="Outlined in BCP"/>
        <s v="Once a year during Q1"/>
        <s v="(1) determine release objectives &#10;(2) approve release objectives &#10;(3) develop software and obtain approval on objectives &#10;(4) develop release schedule &#10;(5) obtain approval on release schedule &#10;(6) build, test, configure &#10;(7) approve release &#10;(8) develop c"/>
        <s v="Institutions will be notified 60 days prior to the environmental change"/>
        <s v="All features of the chat bot are universally available to all schools"/>
        <s v="All code is tested on dev, then staging before deploying to production. QA lead approves the release only after test plan has been completed on staging"/>
        <s v="Once a quarter, bug fixes more frequently"/>
        <s v="Focus on integrations, focus on new channels for the bot, convergence toward generative bots "/>
        <s v="We inform clients with upgrades notification.  Occasionally an upgrade may require some additional training but generally, since all updates happen on the cloud, there are no specific requirements of the client"/>
        <s v="Critical patches are applied at any time by CTO/Sys Admin"/>
        <s v="(1) determine severity of risk &#10;(2) identify immediate risk mitigation options (software &quot;hacks&quot;, or system admin config) that can be done quickly before permanent solution can be put in place &#10;(3) communicate risk to key stakeholders &#10;(4) risk team appro"/>
        <s v="Off-peak hours"/>
        <s v="Only in the case of a breach"/>
        <s v="Data is stored on separate database kubernetes nodes and data is encrypted at rest"/>
        <s v="SSL"/>
        <s v="At rest encryption"/>
        <s v="SSH, TLS, VPN, ALTS"/>
        <s v="Negotiable, typically 5 years"/>
        <s v="In such events, university data clauses with customers will survive the contractual period"/>
        <s v="All data is encrypted at rest in storage"/>
        <s v="We use Google's key management process"/>
        <s v="No media handling process. All backups are stored on AWS"/>
        <s v="GDPR compliant"/>
        <s v="Encryption is at rest; https://cloud.google.com/security/encryption-at-rest/"/>
        <s v="https://cloud.google.com/security/compliance/soc-2/"/>
        <s v="https://cloud.google.com/security"/>
        <s v="Google Cloud"/>
        <s v="Google Gloud &amp; Amazon AWS"/>
        <s v="Unknown"/>
        <s v="Issues affecting clients are automatically escalated to the highest priority level"/>
        <s v="We will communicate to clients within 48 hours indicating issues, and resolution status"/>
        <s v="DRP was tested in March 2019.  Test was successful;  Recovery time was 9 minutes"/>
        <s v="We review and update the DRP quarterly"/>
        <s v="Cyber Risk policy"/>
        <s v="Reverse proxy; rules for XSS/SQL Inj."/>
        <s v="(1) Form is provided &#10;(2) Upon receipt of form, request is evaluated &#10;(3) request approved or denied &#10;(4) request implemented or form is resent "/>
        <s v="Stackdriver monitoring is used"/>
        <s v="SNORT"/>
        <s v="All network changes, IP Address or firewall configuration changes are maintained in audit report"/>
        <s v="fingerprint scanner, security cameras"/>
        <s v="google.com/security"/>
        <s v="We need an NDA to do so"/>
        <s v="Patches to software, depending on severity may be done at anytime; logs of all patches"/>
        <s v="Team is required to take a secure coding class each year.  Sans.org"/>
        <s v="optimized to prevent injections, xss; use of direct object ref; functional level access"/>
        <s v="(1) Requirements created &#10;(2) Test Plan started &#10;(3) code pushed to dev environment &#10;(4) test plan modified &#10;(5) test plan succeeds/fails &#10;(6) code move to staging environment, retested &#10;(7) deployed"/>
        <s v="(1) Requirements provided / reviewed by software team for security issues &#10;(2) Code peer reviewed, comments reviewed &#10;(3) Test plan created and reviewed by software team &#10;(4) Tests/automated testing"/>
        <s v="Agile"/>
        <s v="All incidents are reported within 48 hours of identification; updates provided as needed."/>
        <s v="48hrs"/>
        <s v="Only for technology and finance teams"/>
        <s v="In our company handbook, there is a section on information security.  IT team has an internal wiki with more detailed info"/>
        <s v="Once a year we have a day long information security training; training is mandatory"/>
        <s v="We audit our logs once a month to look for any aberrations"/>
        <s v="email:  support@ivy.ai"/>
        <s v="We provide a sandbox link for testing"/>
        <s v="We provide a full audit trail of our work for our partners to review at any time"/>
        <s v="Google"/>
        <s v="6/30/2018, planned for 6/2019"/>
        <s v="We run a vulnerability scan on our staging environment prior to passing the tests before moving to prod"/>
        <s v="Trying to have this in place by end of Q2"/>
        <s v="NDA"/>
        <s v="Clients may run tests on chatbot to test for vulnerabilities"/>
        <s v="2 security experts: Michal Oglodek (CTO), Patryk Majewski, VP "/>
        <s v="5 developers, 2 QA"/>
      </sharedItems>
    </cacheField>
    <cacheField name="High Risk" numFmtId="0">
      <sharedItems containsBlank="1">
        <b v="1"/>
        <b v="0"/>
        <m/>
      </sharedItems>
    </cacheField>
    <cacheField name="Category" numFmtId="0">
      <sharedItems containsBlank="1">
        <s v="Qualifiers"/>
        <m/>
        <s v="Documentation"/>
        <s v="Third-Parties"/>
        <s v="Consulting"/>
        <s v="Application/Service Security"/>
        <s v="Authentication, Authorization, and Accounting"/>
        <s v="Business Continuity Plan"/>
        <s v="Change Management"/>
        <s v="Data"/>
        <s v="Database"/>
        <s v="Datacenter"/>
        <s v="Disaster Recovery Plan"/>
        <s v="Firewalls, IDS, IPS, and Networking"/>
        <s v="Mobile Applications"/>
        <s v="Physical Security"/>
        <s v="Policies, Procedures, and Processes"/>
        <s v="Product Evaluation"/>
        <s v="Quality Assurance"/>
        <s v="Systems Management &amp; Configuration"/>
        <s v="Vulnerability Scanning"/>
        <s v="HIPAA"/>
        <s v="PCI DSS"/>
        <s v="Company"/>
      </sharedItems>
    </cacheField>
    <cacheField name="C_Answer" numFmtId="0">
      <sharedItems containsBlank="1">
        <s v="Yes"/>
        <s v="No"/>
        <m/>
      </sharedItems>
    </cacheField>
    <cacheField name="Required" numFmtId="0">
      <sharedItems containsString="0" containsBlank="1" containsNumber="1" containsInteger="1">
        <n v="1.0"/>
        <m/>
        <n v="0.0"/>
      </sharedItems>
    </cacheField>
    <cacheField name="V_Answer">
      <sharedItems containsBlank="1" containsMixedTypes="1" containsNumber="1" containsInteger="1">
        <s v="No"/>
        <s v="Yes"/>
        <m/>
        <e v="#N/A"/>
        <s v="We are hosted on Google Cloud using Linux VMs"/>
        <s v="No other software products are necessary"/>
        <s v="See System Diagram Tab"/>
        <s v="Accessed via a web-based interface"/>
        <s v="All web browser combinations are supported"/>
        <s v="CTO is responsible for system administrator function.  VP of technology is responsible for securing the code.  DBA/CTO are only ones with production DB access."/>
        <s v="Administrator provisioning is done by: SSO auth, by invitation from the Ivy team, or manually added by the Ivy security team."/>
        <s v="LAN/WAN redundancy, POP"/>
        <s v="Minimum 8; No spaces"/>
        <s v="Password reset via email"/>
        <s v="Audit logs are kept for all security related events (login/out, login failures, password resets, 2 factor logs)"/>
        <s v="These logs will be kept for 3 years prior to the end of the contractual relationship. They can be destroyed on demand if requested by the school."/>
        <s v="Our BCP holds proprietary information which we can only provide under NDA."/>
        <s v="B and C"/>
        <s v="We run three concurrent versions"/>
        <s v="All schools are using bot brian 1.3.1.5.8"/>
        <s v="We encourage clients to give feedback via our support system"/>
        <s v="Google East Region"/>
        <s v="Hosted on Google Cloud; backups stored on AWS"/>
        <s v="5 years"/>
        <s v="Other"/>
        <s v="Tier IV"/>
        <s v="https://cloud.google.com/security"/>
        <s v="Unknown"/>
        <s v="We cannot share our Disaster Recovery Plan unless we are under NDA."/>
        <s v="End-to-end testing, quarterly"/>
        <s v="CTO/Sys Admin"/>
        <s v="Internally"/>
        <s v="1 full time tester, product manager, and dev team test; as mentioned above, testing happens on Dev -&gt; pass/fail -&gt; move to staging pass/fail -&gt; move to production. We leverage automated testing via Bamboo for common repeateable tests (needs updating?)"/>
        <s v="OpenVAS"/>
        <s v="WAF rules, escaping submission data, etc."/>
        <s v="Ivy.ai, Inc. is a Delaware C-Corporation"/>
        <s v="3 years"/>
        <n v="60.0"/>
      </sharedItems>
    </cacheField>
    <cacheField name="Compliant">
      <sharedItems containsBlank="1" containsMixedTypes="1" containsNumber="1" containsInteger="1">
        <n v="1.0"/>
        <m/>
        <n v="0.0"/>
        <e v="#N/A"/>
      </sharedItems>
    </cacheField>
    <cacheField name="Weight">
      <sharedItems containsBlank="1" containsMixedTypes="1" containsNumber="1" containsInteger="1">
        <n v="10.0"/>
        <m/>
        <n v="15.0"/>
        <n v="25.0"/>
        <n v="20.0"/>
        <s v=""/>
        <n v="40.0"/>
      </sharedItems>
    </cacheField>
    <cacheField name="Score">
      <sharedItems containsBlank="1" containsMixedTypes="1" containsNumber="1" containsInteger="1">
        <n v="10.0"/>
        <m/>
        <n v="0.0"/>
        <n v="25.0"/>
        <s v=""/>
        <n v="20.0"/>
        <n v="40.0"/>
        <n v="15.0"/>
        <e v="#N/A"/>
      </sharedItems>
    </cacheField>
    <cacheField name="CIS" numFmtId="165">
      <sharedItems containsBlank="1">
        <s v="CSC 13"/>
        <s v="CSC 18"/>
        <s v="CSC 10"/>
        <m/>
        <s v="CSC 14"/>
        <e v="#N/A"/>
        <s v="CSC 2, CSC 3"/>
        <s v="CSC16"/>
        <s v="CSC 12"/>
        <s v="CSC 2"/>
        <s v="CSC 7"/>
        <s v="CSC 5"/>
        <s v="CSC 16"/>
        <s v="CSC 6"/>
        <s v="CSC 1"/>
        <s v="CAC 13"/>
        <s v="CSC 13, CSC 14"/>
        <s v="CSC 3"/>
        <s v="CSC 3, CSC 14"/>
        <s v="CSC 9"/>
        <s v="CSC 10, CSC 12"/>
        <s v="CSC 19"/>
        <s v="CSC 6, CSC 19"/>
        <s v="CSC 13, CSC 18"/>
        <s v="CSC 4"/>
        <s v="CSC 4, CSC 17"/>
        <s v="CSC 17"/>
        <s v="CSC 7, CSC 18"/>
        <s v="CSC 20"/>
        <s v="CSC 16, 5"/>
        <s v="CSC 6, CSC 16"/>
        <s v="CSC 1, CSC 2"/>
        <s v="CSC 12, CSC 13"/>
      </sharedItems>
    </cacheField>
    <cacheField name="HIPAA" numFmtId="165">
      <sharedItems containsBlank="1">
        <s v="Discovery"/>
        <m/>
        <s v="§164.308(a)(1)(i)"/>
        <e v="#N/A"/>
        <s v="§164.308(a)(1)(ii)(B)"/>
        <s v="§164.308(a)(5)(i)"/>
        <s v="§164.316(b)(2)(iii)"/>
        <s v="§164.308(a)(2)"/>
        <s v="§164.308(a)(6)(i)"/>
        <s v="§164.308(a)(6)(ii)"/>
        <s v="§164.308(a)(1)(i), §164.308(a)(1)(ii)(A)"/>
        <s v="§164.308(a)(5)(ii)(D)"/>
        <s v="§164.308(a)(4), §164.312(a)(2)(ii),  &#10;§164.312(a)(2)(iii)"/>
        <s v="§164.308(a)(4),&#10;§164.312(a)(2)(ii), §164.312(a)(2)(iii)"/>
        <s v="§164.308(a)(4), &#10;§164.312(d)"/>
        <s v="§164.308(a)(4), &#10;§164.312(a)(1), §164.312(a)(2)(i), &#10;§164.312(d)"/>
        <s v="§164.308(a)(4),&#10;§164.312(a)(1), §164.312(a)(2)(i), &#10;§164.312(d)"/>
        <s v="§164.308(a)(4), &#10;§164.312(a)(1), §164.312(a)(2)(i),&#10;§164.312(d)"/>
        <s v="§164.308(a)(4), &#10;§164.312(a)(1)"/>
        <s v="§ 164.308(a)(1)(ii)(D)"/>
        <s v="§164.312(b)"/>
        <s v="§164.312(a)(2)(ii)"/>
        <s v="§164.308(a)(7)(i)"/>
        <s v="§164.308(b)(2)"/>
        <s v="§164.308(b)(1),&#10;§164.308(b)(3), §164.314(a)(1)(i)"/>
        <s v="§164.308(a)(3)(i), §164.308(b)(1), &#10;§164.308(b)(3), §164.314(a)(1)(i)"/>
      </sharedItems>
    </cacheField>
    <cacheField name="ISO 27002:27013">
      <sharedItems containsBlank="1" containsMixedTypes="1" containsNumber="1">
        <s v="18.1.1"/>
        <m/>
        <s v="17.1.2"/>
        <s v="15.2.1"/>
        <s v="18.1.4"/>
        <s v="15.1.3"/>
        <s v="9.1.2"/>
        <s v="9.2.6"/>
        <s v="9"/>
        <e v="#N/A"/>
        <s v="11.2.6"/>
        <n v="6.2"/>
        <s v="9.1.1"/>
        <s v="12.5.1"/>
        <n v="16.0"/>
        <s v="12.1.1"/>
        <s v="12.1.4"/>
        <s v="9.2.3, 12.1.4"/>
        <n v="9.2"/>
        <s v="9.2.3, 9.3.1, 9.4.3"/>
        <s v="9.1.1, 9.2.3, 9.3.1, 9.4.3"/>
        <s v="9.4.3"/>
        <s v="12.4"/>
        <s v="17.1.1"/>
        <s v="17"/>
        <s v="17.1.3"/>
        <s v="7.2.2, 17.1.3"/>
        <s v="7.2.2, 16.1.1, 17.1.3"/>
        <s v="17.2.1"/>
        <s v="12.1.2"/>
        <s v="12.6.1"/>
        <s v="10.1.1"/>
        <s v="8.2.3, 10.1.1"/>
        <s v="13.2"/>
        <s v="8.1.4"/>
        <s v="12.3.1"/>
        <s v="8.1.2"/>
        <s v="10.1.2"/>
        <s v="8.3.1"/>
        <s v="8.3.1, 18.1.1"/>
        <s v="14.2.5"/>
        <s v="11.1.1"/>
        <s v="13.1.2"/>
        <s v="11.1.1, 11.1.2"/>
        <s v="11.1.4"/>
        <s v="16.1.1, 17.1.1"/>
        <s v="7.1.3"/>
        <s v="13.1.1"/>
        <s v="13"/>
        <s v="12.4.1"/>
        <s v="8.2.1; 8.2.3"/>
        <s v="8.2.3"/>
        <s v="9.4.2"/>
        <s v="14.2.1"/>
        <s v="12.7.1, 18.2.1"/>
        <s v="11.1.2, 11.1.3"/>
        <s v="11.1.2,  11.1.3"/>
        <s v="11.1.2"/>
        <s v="5.1.1"/>
        <s v="10.1.1, 18.1.5"/>
        <s v="14.2.1, 14.2.5, 14.2.8"/>
        <s v="16.1.5"/>
        <s v="7.1.1"/>
        <s v="7.1.2"/>
        <s v="7.2.2"/>
        <s v="9.2.5"/>
        <s v="12.7.1"/>
        <s v="6.2.1"/>
        <s v="18.2.1"/>
        <s v="18.1.1, 7.2.2"/>
        <s v="16.1.1"/>
        <s v="16.1.2, 16.1.5, 18.1.1"/>
        <s v="9.2.3"/>
      </sharedItems>
    </cacheField>
    <cacheField name="NIST Cybersecurity Framework" numFmtId="165">
      <sharedItems containsBlank="1">
        <s v="ID.GV-3"/>
        <m/>
        <s v="ID.AM-6, PR.AT-3"/>
        <s v="PR.IP-9"/>
        <s v="ID.AM-6, PR-AT-3"/>
        <e v="#N/A"/>
        <s v="ID.AM-5"/>
        <s v="PR.AC-3, PR.MA-2"/>
        <s v="PR.AC-4, PR.PT-3"/>
        <s v="PR.PT-3"/>
        <s v="ID.AM-2"/>
        <s v="ID.AM-1, ID.AM-2, ID.AM-4"/>
        <s v="PR.AC-4"/>
        <s v="PR.AC-1"/>
        <s v="PR.AC-1, PR.AC-4"/>
        <s v="PR.PT-1"/>
        <s v="PR.IP-3"/>
        <s v="PR.IP-3, PR.DS-7"/>
        <s v="PR.DS-6"/>
        <s v="PR.AC-2, PR.IP-5"/>
        <s v="PR.DS-2"/>
        <s v="PR.DS-1"/>
        <s v="PR.IP-4"/>
        <s v="PR.DS-1, PR.IP-4"/>
        <s v="PR.DS-3"/>
        <s v="PR.DS-3, ID.GV-3"/>
        <s v="PR.DS-1, PR.DS-2"/>
        <s v="PR.AC-2"/>
        <s v="PR.AC-5"/>
        <s v="PR.DS-4"/>
        <s v="PR.DS-5"/>
        <s v="DE.CM-1"/>
        <s v="DE.CM-1, DE.CM-2, DE.CM-7"/>
        <s v="DE.AE-1, DE.CM-1, PR.PT-4"/>
        <s v="DE.CM-7"/>
        <s v="DE.CM-7, PR.DS-2"/>
        <s v="DE.CM-7, PR.DS-1"/>
        <s v="DE.CM-7, DE.CM-8, ID.RA-1"/>
        <s v="PR.AC-2, PR.AT-5, PR.IP-5, DE.CM-2"/>
        <s v="PR.AC-2, PR.AC-4, PR.DS-1, PR.DS-3, PR.DS-5"/>
        <s v="DE.CM-2"/>
        <s v="ID.GV-2"/>
        <s v="PR.IP-12"/>
        <s v="DE.CM-8, RS.MI-3"/>
        <s v="PR.IP-2"/>
        <s v="PR.IP-11"/>
        <s v="PR.AT-1"/>
        <s v="PR.DS-7"/>
        <s v="PR.PT-4"/>
        <s v="PR.IP-1"/>
        <s v="PR.IP-1, PR.IP-2"/>
        <s v="DE.CM-8"/>
        <s v="ID.RA-1, DE.CM-8, PR.IP-12"/>
      </sharedItems>
    </cacheField>
    <cacheField name="NIST SP 800-171r1" numFmtId="165">
      <sharedItems containsBlank="1">
        <s v="ID.GV-3"/>
        <m/>
        <s v="ID.AM-6, PR.AT-3"/>
        <s v="PR.IP-9"/>
        <s v="3.8.2"/>
        <s v="3.1.2, 3.1.3"/>
        <s v="3.1.2"/>
        <e v="#N/A"/>
        <s v="3.4.9"/>
        <s v="3.1.12, 3.1.13, 3.1.14, 3.1.14, 3.1.15, 3.1.8, 3.1.20, 3.7.5, 3.8.2, 3.13.7"/>
        <s v="3.1.4"/>
        <s v="3.1.1, 3.1.5, 3.1.6, 3.7.1, 3.7.2"/>
        <s v="3.5.6"/>
        <s v="3.5.7"/>
        <s v="3.5.5, 3.5.8"/>
        <s v="3.5.1"/>
        <s v="3.5.10"/>
        <s v="3.5.2, 3.5.3"/>
        <s v="3.1.1"/>
        <s v="3.1.7, 3.3.1"/>
        <s v="3.1.7, 3.3.2, 3.3.3, 3.3.4, 3.3.5, 3.4.3, 3.7.1, 3.7.6, 3.10.4, 3.10.5"/>
        <s v="3.3.8, 3.3.9"/>
        <s v="3.12.2"/>
        <s v="3.2.1, 3.2.2"/>
        <s v="3.4.3, 3.4.4"/>
        <s v="3.4.3, 3.4.4, 3.4.5"/>
        <s v="3.4.4"/>
        <s v="3.14.4"/>
        <s v="3.1.3, 3.8.1"/>
        <s v="3.1.22"/>
        <s v="3.1.19, 3.8.1"/>
        <s v="3.8.6, 3.13.11"/>
        <s v="3.8.1"/>
        <s v="3.8.9"/>
        <s v="3.13.10"/>
        <s v="3.8.1, 3.8.9"/>
        <s v="3.8.1, 3.8.5, 3.8.9"/>
        <s v="3.7.1, 3.7.2, 3.8.3"/>
        <s v="3.7.3, 3.8.3,"/>
        <s v="3.8.1, 3.8.2"/>
        <s v="3.1.3"/>
        <s v="3.6.2"/>
        <s v="3.6.1, 3.14.6, 3.14.7"/>
        <s v="3.3.1"/>
        <s v="3.1.19"/>
        <s v="3.8.2, 3.10.1, 3.10.2, 3.10.5, 3.10.6, 3.12.1"/>
        <s v="3.8.1, 3.8.5, 3.8.7"/>
        <s v="3.10.2"/>
        <s v="3.7.3, 3.8.1, 3.8.5, 3.8.7, 3.10.3"/>
        <s v="3.9.1, 3.9.2"/>
        <s v="3.13.2"/>
        <s v="3.6.1, 3.12.2"/>
        <s v="3.6.2,"/>
        <s v="3.9.1"/>
        <s v="3.2.1"/>
        <s v="3.2.1, 3.2.2, 3.2.3"/>
        <s v="3.1.7"/>
        <s v="3.4.1, 3.4.2, 3.4.3"/>
        <s v="3.13.13"/>
        <s v="3.1.18, 3.7.1, 3.13.13"/>
        <s v="3.11.1, 3.11.2, 3.11.3"/>
        <s v="3.11.1, 3.11.2, 3.11.3, 3.14.2"/>
        <s v="3.2.2"/>
        <s v="3.6.1, 3.14.1"/>
        <s v="3.6.2, 3.12.2"/>
        <s v="3.5.9"/>
        <s v="3.1.8"/>
        <s v="3.1.10, 3.1.11"/>
        <s v="3.1.2, 3.1.5"/>
        <s v="3.3.2"/>
        <s v="3.6.3, 3.12.2"/>
      </sharedItems>
    </cacheField>
    <cacheField name="NIST SP 800-53r4" numFmtId="165">
      <sharedItems containsBlank="1">
        <s v="RA-2"/>
        <s v="IA-2, IA-3, CM-3, SI-2"/>
        <m/>
        <s v="AU-7, AU-9, IR-4"/>
        <s v="CA-5, PL-2"/>
        <s v="SA-9"/>
        <s v="PE-2, PE-3, PE-5, PE-11, PE-13, PE-14, SA-9"/>
        <s v="MP-2, RA-3"/>
        <s v="PS-3"/>
        <s v="PS-5"/>
        <s v="AC-4"/>
        <s v="MP-2"/>
        <e v="#N/A"/>
        <s v="AC-17; NIST SP 800-46"/>
        <s v="CM-11"/>
        <s v="AC-3, CM-7; NIST SP 800-46"/>
        <s v="CA-9, SC-4"/>
        <s v="AC-5"/>
        <s v="AC-2, AC-3, AC-6, MA-2, MA-3"/>
        <s v="IA-4"/>
        <s v="IA-5(1)"/>
        <s v="IA-2, IA-5"/>
        <s v="IA-5"/>
        <s v="AC-6(1,3,9), AU-2, AU-2(3), AU-3, AU-7, AU-9(4), AU-12, NIST 800-92"/>
        <s v="AU-2(3), AU-6, AU-12, AC-6(9), CM-3, MA-2, MA-5, PE-3"/>
        <s v="AU-9"/>
        <s v="AU-7, AU-9, IR-4, AC-5, CP-4, CP-10; NIST SP 800-34"/>
        <s v="AC-5, CP-4, CP-10; NIST SP 800-34"/>
        <s v="AT-3, AC-5, CP-4, CP-10; NIST SP 800-34"/>
        <s v="CM-3, CM-4, CM-5"/>
        <s v="AC-4, MP-2, MP-4"/>
        <s v="AC-22"/>
        <s v="MP-2, AC-19(5)"/>
        <s v="PE-2, PE-3, PE-5, MP-5"/>
        <s v="CP-9"/>
        <s v="SC-28, SC-13, FIPS PUB 140-2"/>
        <s v="CP-9, MP-5"/>
        <s v="CP-9 MP-6, NIST SP 800-60, NIST SP 800-88, AC-2, AC-6, IA-4, PM-2, PM-10, SI-5, MA-2, MA-3, MP-6"/>
        <s v="AC-2, AC-6, IA-4, PM-2, PM-10, SI-5, MA-2"/>
        <s v="SI-12, AC-2, AC-6, IA-4, PM-2, PM-10, SI-5, MA-2"/>
        <s v="AC-2, AC-6, IA-4, PM-2, PM-10, SI-5"/>
        <s v="PE-2, PE-3, PE-5, PE-11, PE-13, PE-14"/>
        <s v="IR-2, IR-4, IR-5"/>
        <s v="AU-2"/>
        <s v="AC-19(5)"/>
        <s v="MP-4, PE-2, PE-5, PE-6, PE-17"/>
        <s v="MP-2, MP-5, MP-7"/>
        <s v="PE-6"/>
        <s v="PM-2, PM-10, SI-5, CA-5, PM-1"/>
        <s v="CA-5, PM-1"/>
        <s v="CM-3, SA-15, SA-3, SA-8, SC-2, CA-5, PM-1"/>
        <s v="CA-5, PM-1, IR-4, IR-5, IR-7, IR-8"/>
        <s v="CA-5, PM-1, IR-4, IR-5, IR-6, IR-7, IR-8"/>
        <s v="CA-2, SA-15, CA-5, PM-1, IR-4, IR-5, IR-6, R-7, IR-8"/>
        <s v="CA-5, PM-1, PS-3"/>
        <s v="AT-2, CA-5, PM-1"/>
        <s v="AT-2, AT-3, CA-5, PM-1"/>
        <s v="CA-5, PM-1, PS-4, PS-5, PE-2, PE-3, PE-5, AC-6, RA-3, SA-8, CA-2, NIST SP 800-37; NIST SP 800-39; NIST SP 800-115; NIST SP 800-137"/>
        <s v="CM-2, CM-3, CM-6, CM-8"/>
        <s v="CM-2, CM-6, CM-3, AC-19, MA-2"/>
        <s v="SI-2"/>
        <s v="AT-3"/>
        <s v="IR-2, IR-4, IR-5, IR-7"/>
        <s v="IR-6"/>
        <s v="AC-7"/>
        <s v="AC-11, AC-11(1), AC-12"/>
        <s v="AU-2, AU-6, AU-12"/>
        <s v="AU-3"/>
        <s v="SA-3, SA-15, SC-2, PM-2, PM-10, SI-5,PM-3 "/>
      </sharedItems>
    </cacheField>
    <cacheField name="PCI DSS">
      <sharedItems containsBlank="1" containsMixedTypes="1" containsNumber="1">
        <m/>
        <n v="12.8"/>
        <n v="12.1"/>
        <s v="PCI Scope, Discovery"/>
        <s v="PCI Scope"/>
        <s v="12.1, Scope"/>
        <e v="#N/A"/>
        <s v="7.x"/>
        <s v="12.8, 4.2"/>
        <n v="2.4"/>
        <s v="12.x"/>
        <s v="7.x, 8.x"/>
        <s v="Scope"/>
        <s v="8.x"/>
        <s v="2.1, 8.x"/>
        <s v="10.1, 10.2, 10.3, 10.5, 10.6, 10.7"/>
        <s v="10.1, 10.2, 10.3, 10.5, 10.6, 10.7, 9.x"/>
        <n v="10.7"/>
        <s v="6.4, 6.4.5, 6.4.5.1, 6.4.5.2"/>
        <s v="6.4, 12.8, 12.9"/>
        <s v="12.1, 12.8"/>
        <s v="12.1, 12.8, 6.2"/>
        <s v="12.2, 12.8"/>
        <s v="12.1, 12.2, 12.8"/>
        <s v="12.10, 12.8, 6.4"/>
        <s v="12.8, 9.x"/>
        <s v="12.8, 4.1"/>
        <s v="9.x"/>
        <n v="12.9"/>
        <n v="1.1"/>
        <n v="11.4"/>
        <n v="11.5"/>
        <s v="11.4, 12.8"/>
        <s v="1.1, 10.8, 10.6, 10.3, 10.2, 11.4"/>
        <n v="4.1"/>
        <s v="12.1, 9.x"/>
        <s v="12.4, 12.5"/>
        <s v="6.4.5"/>
        <s v="12.6, 6.5"/>
        <n v="6.3"/>
        <s v="6.3.2"/>
        <s v="6.3.2, 6.4.5.3"/>
        <s v="6.3, 6.3.1"/>
        <s v="12.10, 12.8, 12.9"/>
        <n v="12.7"/>
        <s v="12.6, 7.x, 8.x, 9.x"/>
        <s v="12.1, 5.4 (?)"/>
        <n v="12.6"/>
        <s v="12.1, 12.5, 12.6"/>
        <n v="11.2"/>
        <s v="11.2, 11.3"/>
        <s v="11.2, 12.8"/>
        <s v="12.10, 10.10"/>
        <n v="12.2"/>
        <s v="12.8, 12.5"/>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High Risk Non-Compliant" cacheId="0" dataCaption="" rowGrandTotals="0" compact="0" compactData="0">
  <location ref="A4:L267" firstHeaderRow="0" firstDataRow="11" firstDataCol="0" rowPageCount="2" colPageCount="1"/>
  <pivotFields>
    <pivotField name="Order" axis="axisRow" compact="0" outline="0" multipleItemSelectionAllowed="1" showAll="0" sortType="ascending" defaultSubtotal="0">
      <items>
        <item x="4"/>
        <item x="0"/>
        <item x="1"/>
        <item x="2"/>
        <item x="3"/>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s>
    </pivotField>
    <pivotField name="ID" axis="axisRow" compact="0" outline="0" multipleItemSelectionAllowed="1" showAll="0" sortType="ascending" defaultSubtotal="0">
      <items>
        <item x="4"/>
        <item x="24"/>
        <item x="44"/>
        <item x="45"/>
        <item x="46"/>
        <item x="47"/>
        <item x="48"/>
        <item x="49"/>
        <item x="50"/>
        <item x="51"/>
        <item x="52"/>
        <item x="53"/>
        <item x="54"/>
        <item x="55"/>
        <item x="56"/>
        <item x="57"/>
        <item x="58"/>
        <item x="59"/>
        <item x="60"/>
        <item x="26"/>
        <item x="27"/>
        <item x="28"/>
        <item x="29"/>
        <item x="30"/>
        <item x="31"/>
        <item x="32"/>
        <item x="33"/>
        <item x="34"/>
        <item x="35"/>
        <item x="36"/>
        <item x="37"/>
        <item x="38"/>
        <item x="39"/>
        <item x="40"/>
        <item x="41"/>
        <item x="42"/>
        <item x="43"/>
        <item x="61"/>
        <item x="62"/>
        <item x="63"/>
        <item x="64"/>
        <item x="65"/>
        <item x="66"/>
        <item x="67"/>
        <item x="68"/>
        <item x="69"/>
        <item x="70"/>
        <item x="71"/>
        <item x="72"/>
        <item x="73"/>
        <item x="74"/>
        <item x="75"/>
        <item x="76"/>
        <item x="77"/>
        <item x="78"/>
        <item x="79"/>
        <item x="80"/>
        <item x="81"/>
        <item x="82"/>
        <item x="83"/>
        <item x="84"/>
        <item x="85"/>
        <item x="86"/>
        <item x="87"/>
        <item x="260"/>
        <item x="261"/>
        <item x="262"/>
        <item x="263"/>
        <item x="264"/>
        <item x="265"/>
        <item x="266"/>
        <item x="18"/>
        <item x="19"/>
        <item x="20"/>
        <item x="21"/>
        <item x="22"/>
        <item x="23"/>
        <item x="25"/>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8"/>
        <item x="9"/>
        <item x="10"/>
        <item x="11"/>
        <item x="12"/>
        <item x="13"/>
        <item x="135"/>
        <item x="136"/>
        <item x="137"/>
        <item x="138"/>
        <item x="139"/>
        <item x="140"/>
        <item x="141"/>
        <item x="142"/>
        <item x="143"/>
        <item x="144"/>
        <item x="145"/>
        <item x="146"/>
        <item x="147"/>
        <item x="148"/>
        <item x="149"/>
        <item x="150"/>
        <item x="151"/>
        <item x="152"/>
        <item x="153"/>
        <item x="154"/>
        <item x="155"/>
        <item x="156"/>
        <item x="157"/>
        <item x="158"/>
        <item x="159"/>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160"/>
        <item x="161"/>
        <item x="162"/>
        <item x="163"/>
        <item x="164"/>
        <item x="165"/>
        <item x="166"/>
        <item x="167"/>
        <item x="168"/>
        <item x="169"/>
        <item x="170"/>
        <item x="248"/>
        <item x="249"/>
        <item x="250"/>
        <item x="251"/>
        <item x="252"/>
        <item x="253"/>
        <item x="254"/>
        <item x="255"/>
        <item x="256"/>
        <item x="257"/>
        <item x="258"/>
        <item x="259"/>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0"/>
        <item x="1"/>
        <item x="2"/>
        <item x="3"/>
        <item x="5"/>
        <item x="6"/>
        <item x="7"/>
        <item x="203"/>
        <item x="204"/>
        <item x="205"/>
        <item x="206"/>
        <item x="14"/>
        <item x="15"/>
        <item x="16"/>
        <item x="17"/>
        <item x="207"/>
        <item x="208"/>
        <item x="209"/>
        <item x="210"/>
        <item x="211"/>
        <item x="212"/>
        <item x="213"/>
        <item x="214"/>
        <item x="215"/>
      </items>
    </pivotField>
    <pivotField name="Question" axis="axisRow" compact="0" outline="0" multipleItemSelectionAllowed="1" showAll="0" sortType="ascending" defaultSubtotal="0">
      <items>
        <item x="4"/>
        <item x="65"/>
        <item x="144"/>
        <item x="137"/>
        <item x="157"/>
        <item x="57"/>
        <item x="101"/>
        <item x="103"/>
        <item x="36"/>
        <item x="203"/>
        <item x="170"/>
        <item x="173"/>
        <item x="181"/>
        <item x="97"/>
        <item x="227"/>
        <item x="106"/>
        <item x="130"/>
        <item x="68"/>
        <item x="201"/>
        <item x="118"/>
        <item x="38"/>
        <item x="48"/>
        <item x="98"/>
        <item x="85"/>
        <item x="50"/>
        <item x="49"/>
        <item x="172"/>
        <item x="171"/>
        <item x="250"/>
        <item x="248"/>
        <item x="12"/>
        <item x="246"/>
        <item x="154"/>
        <item x="249"/>
        <item x="105"/>
        <item x="147"/>
        <item x="146"/>
        <item x="243"/>
        <item x="205"/>
        <item x="207"/>
        <item x="125"/>
        <item x="120"/>
        <item x="208"/>
        <item x="94"/>
        <item x="28"/>
        <item x="253"/>
        <item x="237"/>
        <item x="238"/>
        <item x="96"/>
        <item x="136"/>
        <item x="176"/>
        <item x="43"/>
        <item x="44"/>
        <item x="242"/>
        <item x="195"/>
        <item x="29"/>
        <item x="174"/>
        <item x="39"/>
        <item x="258"/>
        <item x="14"/>
        <item x="41"/>
        <item x="34"/>
        <item x="37"/>
        <item x="212"/>
        <item x="141"/>
        <item x="58"/>
        <item x="159"/>
        <item x="131"/>
        <item x="100"/>
        <item x="40"/>
        <item x="35"/>
        <item x="59"/>
        <item x="210"/>
        <item x="60"/>
        <item x="134"/>
        <item x="76"/>
        <item x="42"/>
        <item x="17"/>
        <item x="251"/>
        <item x="257"/>
        <item x="233"/>
        <item x="119"/>
        <item x="107"/>
        <item x="75"/>
        <item x="110"/>
        <item x="86"/>
        <item x="143"/>
        <item x="145"/>
        <item x="197"/>
        <item x="217"/>
        <item x="11"/>
        <item x="115"/>
        <item x="31"/>
        <item x="152"/>
        <item x="153"/>
        <item x="91"/>
        <item x="3"/>
        <item x="104"/>
        <item x="247"/>
        <item x="261"/>
        <item x="262"/>
        <item x="5"/>
        <item x="240"/>
        <item x="72"/>
        <item x="175"/>
        <item x="149"/>
        <item x="182"/>
        <item x="183"/>
        <item x="108"/>
        <item x="219"/>
        <item x="200"/>
        <item x="80"/>
        <item x="204"/>
        <item x="81"/>
        <item x="202"/>
        <item x="218"/>
        <item x="190"/>
        <item x="189"/>
        <item x="46"/>
        <item x="193"/>
        <item x="259"/>
        <item x="84"/>
        <item x="83"/>
        <item x="192"/>
        <item x="180"/>
        <item x="194"/>
        <item x="155"/>
        <item x="215"/>
        <item x="187"/>
        <item x="87"/>
        <item x="188"/>
        <item x="179"/>
        <item x="26"/>
        <item x="27"/>
        <item x="245"/>
        <item x="214"/>
        <item x="121"/>
        <item x="133"/>
        <item x="166"/>
        <item x="235"/>
        <item x="234"/>
        <item x="161"/>
        <item x="114"/>
        <item x="117"/>
        <item x="164"/>
        <item x="109"/>
        <item x="54"/>
        <item x="45"/>
        <item x="55"/>
        <item x="255"/>
        <item x="30"/>
        <item x="78"/>
        <item x="1"/>
        <item x="123"/>
        <item x="51"/>
        <item x="226"/>
        <item x="225"/>
        <item x="229"/>
        <item x="224"/>
        <item x="223"/>
        <item x="52"/>
        <item x="230"/>
        <item x="231"/>
        <item x="116"/>
        <item x="239"/>
        <item x="70"/>
        <item x="67"/>
        <item x="79"/>
        <item x="13"/>
        <item x="138"/>
        <item x="69"/>
        <item x="169"/>
        <item x="0"/>
        <item x="92"/>
        <item x="47"/>
        <item x="167"/>
        <item x="22"/>
        <item x="142"/>
        <item x="66"/>
        <item x="216"/>
        <item x="241"/>
        <item x="9"/>
        <item x="220"/>
        <item x="244"/>
        <item x="260"/>
        <item x="221"/>
        <item x="150"/>
        <item x="151"/>
        <item x="33"/>
        <item x="10"/>
        <item x="199"/>
        <item x="222"/>
        <item x="8"/>
        <item x="206"/>
        <item x="177"/>
        <item x="209"/>
        <item x="102"/>
        <item x="236"/>
        <item x="77"/>
        <item x="126"/>
        <item x="228"/>
        <item x="99"/>
        <item x="256"/>
        <item x="73"/>
        <item x="62"/>
        <item x="135"/>
        <item x="113"/>
        <item x="82"/>
        <item x="163"/>
        <item x="162"/>
        <item x="156"/>
        <item x="111"/>
        <item x="129"/>
        <item x="191"/>
        <item x="90"/>
        <item x="89"/>
        <item x="160"/>
        <item x="254"/>
        <item x="128"/>
        <item x="63"/>
        <item x="139"/>
        <item x="64"/>
        <item x="140"/>
        <item x="232"/>
        <item x="71"/>
        <item x="7"/>
        <item x="186"/>
        <item x="93"/>
        <item x="61"/>
        <item x="158"/>
        <item x="15"/>
        <item x="196"/>
        <item x="122"/>
        <item x="148"/>
        <item x="132"/>
        <item x="168"/>
        <item x="263"/>
        <item x="178"/>
        <item x="16"/>
        <item x="32"/>
        <item x="252"/>
        <item x="127"/>
        <item x="23"/>
        <item x="56"/>
        <item x="53"/>
        <item x="124"/>
        <item x="165"/>
        <item x="6"/>
        <item x="2"/>
        <item x="88"/>
        <item x="25"/>
        <item x="20"/>
        <item x="19"/>
        <item x="21"/>
        <item x="18"/>
        <item x="74"/>
        <item x="95"/>
        <item x="213"/>
        <item x="184"/>
        <item x="185"/>
        <item x="112"/>
        <item x="211"/>
        <item x="198"/>
        <item x="24"/>
      </items>
    </pivotField>
    <pivotField name="Additional Info" axis="axisRow" compact="0" outline="0" multipleItemSelectionAllowed="1" showAll="0" sortType="ascending" defaultSubtotal="0">
      <items>
        <item x="0"/>
        <item x="20"/>
        <item x="28"/>
        <item x="53"/>
        <item x="63"/>
        <item x="64"/>
        <item x="81"/>
        <item x="67"/>
        <item x="82"/>
        <item x="76"/>
        <item x="14"/>
        <item x="65"/>
        <item x="23"/>
        <item x="37"/>
        <item x="22"/>
        <item x="66"/>
        <item x="56"/>
        <item x="33"/>
        <item x="80"/>
        <item x="27"/>
        <item x="13"/>
        <item x="51"/>
        <item x="31"/>
        <item x="4"/>
        <item x="7"/>
        <item x="49"/>
        <item x="72"/>
        <item x="41"/>
        <item x="57"/>
        <item x="25"/>
        <item x="40"/>
        <item x="75"/>
        <item x="44"/>
        <item x="45"/>
        <item x="58"/>
        <item x="8"/>
        <item x="43"/>
        <item x="42"/>
        <item x="69"/>
        <item x="36"/>
        <item x="21"/>
        <item x="47"/>
        <item x="16"/>
        <item x="79"/>
        <item x="35"/>
        <item x="39"/>
        <item x="2"/>
        <item x="29"/>
        <item x="24"/>
        <item x="19"/>
        <item x="70"/>
        <item x="68"/>
        <item x="30"/>
        <item x="12"/>
        <item x="62"/>
        <item x="18"/>
        <item x="60"/>
        <item x="15"/>
        <item x="52"/>
        <item x="17"/>
        <item x="6"/>
        <item x="55"/>
        <item x="1"/>
        <item x="34"/>
        <item x="32"/>
        <item x="9"/>
        <item x="54"/>
        <item x="61"/>
        <item x="78"/>
        <item x="46"/>
        <item x="3"/>
        <item x="71"/>
        <item x="11"/>
        <item x="26"/>
        <item x="59"/>
        <item x="74"/>
        <item x="73"/>
        <item x="50"/>
        <item x="77"/>
        <item x="10"/>
        <item x="38"/>
        <item x="48"/>
        <item x="5"/>
      </items>
    </pivotField>
    <pivotField name="High Risk" axis="axisPage" compact="0" outline="0" multipleItemSelectionAllowed="1" showAll="0">
      <items>
        <item x="0"/>
        <item x="1"/>
        <item x="2"/>
        <item t="default"/>
      </items>
    </pivotField>
    <pivotField name="Category" compact="0" outline="0" multipleItemSelectionAllowed="1" showAll="0">
      <items>
        <item x="0"/>
        <item x="1"/>
        <item x="2"/>
        <item x="3"/>
        <item x="4"/>
        <item x="5"/>
        <item x="6"/>
        <item x="7"/>
        <item x="8"/>
        <item x="9"/>
        <item x="10"/>
        <item x="11"/>
        <item x="12"/>
        <item x="13"/>
        <item x="14"/>
        <item x="15"/>
        <item x="16"/>
        <item x="17"/>
        <item x="18"/>
        <item x="19"/>
        <item x="20"/>
        <item x="21"/>
        <item x="22"/>
        <item x="23"/>
        <item t="default"/>
      </items>
    </pivotField>
    <pivotField name="C_Answer" compact="0" outline="0" multipleItemSelectionAllowed="1" showAll="0">
      <items>
        <item x="0"/>
        <item x="1"/>
        <item x="2"/>
        <item t="default"/>
      </items>
    </pivotField>
    <pivotField name="Required" compact="0" outline="0" multipleItemSelectionAllowed="1" showAll="0">
      <items>
        <item x="0"/>
        <item x="1"/>
        <item x="2"/>
        <item t="default"/>
      </items>
    </pivotField>
    <pivotField name="V_Answer"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 name="Compliant" axis="axisPage" compact="0" outline="0" multipleItemSelectionAllowed="1" showAll="0">
      <items>
        <item x="0"/>
        <item x="1"/>
        <item x="2"/>
        <item h="1" x="3"/>
        <item t="default"/>
      </items>
    </pivotField>
    <pivotField name="Weight" compact="0" outline="0" multipleItemSelectionAllowed="1" showAll="0">
      <items>
        <item x="0"/>
        <item x="1"/>
        <item x="2"/>
        <item x="3"/>
        <item x="4"/>
        <item x="5"/>
        <item x="6"/>
        <item t="default"/>
      </items>
    </pivotField>
    <pivotField name="Score" compact="0" outline="0" multipleItemSelectionAllowed="1" showAll="0">
      <items>
        <item x="0"/>
        <item x="1"/>
        <item x="2"/>
        <item x="3"/>
        <item x="4"/>
        <item x="5"/>
        <item x="6"/>
        <item x="7"/>
        <item x="8"/>
        <item t="default"/>
      </items>
    </pivotField>
    <pivotField name="CIS" axis="axisRow" compact="0" numFmtId="165" outline="0" multipleItemSelectionAllowed="1" showAll="0" sortType="ascending" defaultSubtotal="0">
      <items>
        <item x="3"/>
        <item x="15"/>
        <item x="14"/>
        <item x="31"/>
        <item x="2"/>
        <item x="20"/>
        <item x="8"/>
        <item x="32"/>
        <item x="0"/>
        <item x="16"/>
        <item x="23"/>
        <item x="4"/>
        <item x="12"/>
        <item x="29"/>
        <item x="26"/>
        <item x="1"/>
        <item x="21"/>
        <item x="9"/>
        <item x="6"/>
        <item x="28"/>
        <item x="17"/>
        <item x="18"/>
        <item x="24"/>
        <item x="25"/>
        <item x="11"/>
        <item x="13"/>
        <item x="30"/>
        <item x="22"/>
        <item x="10"/>
        <item x="27"/>
        <item x="19"/>
        <item x="7"/>
        <item x="5"/>
      </items>
    </pivotField>
    <pivotField name="HIPAA" axis="axisRow" compact="0" numFmtId="165" outline="0" multipleItemSelectionAllowed="1" showAll="0" sortType="ascending" defaultSubtotal="0">
      <items>
        <item x="1"/>
        <item x="19"/>
        <item x="2"/>
        <item x="10"/>
        <item x="4"/>
        <item x="7"/>
        <item x="25"/>
        <item x="16"/>
        <item x="13"/>
        <item x="18"/>
        <item x="17"/>
        <item x="15"/>
        <item x="14"/>
        <item x="12"/>
        <item x="5"/>
        <item x="11"/>
        <item x="8"/>
        <item x="9"/>
        <item x="22"/>
        <item x="24"/>
        <item x="23"/>
        <item x="21"/>
        <item x="20"/>
        <item x="6"/>
        <item x="0"/>
        <item x="3"/>
      </items>
    </pivotField>
    <pivotField name="ISO 27002:27013" axis="axisRow" compact="0" outline="0" multipleItemSelectionAllowed="1" showAll="0" sortType="ascending" defaultSubtotal="0">
      <items>
        <item x="1"/>
        <item x="11"/>
        <item x="18"/>
        <item x="14"/>
        <item x="31"/>
        <item x="59"/>
        <item x="37"/>
        <item x="41"/>
        <item x="43"/>
        <item x="57"/>
        <item x="56"/>
        <item x="55"/>
        <item x="44"/>
        <item x="10"/>
        <item x="15"/>
        <item x="29"/>
        <item x="16"/>
        <item x="35"/>
        <item x="22"/>
        <item x="49"/>
        <item x="13"/>
        <item x="30"/>
        <item x="66"/>
        <item x="54"/>
        <item x="48"/>
        <item x="47"/>
        <item x="42"/>
        <item x="33"/>
        <item x="53"/>
        <item x="60"/>
        <item x="40"/>
        <item x="5"/>
        <item x="3"/>
        <item x="70"/>
        <item x="45"/>
        <item x="71"/>
        <item x="61"/>
        <item x="24"/>
        <item x="23"/>
        <item x="2"/>
        <item x="25"/>
        <item x="28"/>
        <item x="0"/>
        <item x="69"/>
        <item x="4"/>
        <item x="68"/>
        <item x="58"/>
        <item x="67"/>
        <item x="62"/>
        <item x="63"/>
        <item x="46"/>
        <item x="64"/>
        <item x="27"/>
        <item x="26"/>
        <item x="36"/>
        <item x="34"/>
        <item x="50"/>
        <item x="51"/>
        <item x="32"/>
        <item x="38"/>
        <item x="39"/>
        <item x="8"/>
        <item x="12"/>
        <item x="20"/>
        <item x="6"/>
        <item x="72"/>
        <item x="17"/>
        <item x="19"/>
        <item x="65"/>
        <item x="7"/>
        <item x="52"/>
        <item x="21"/>
        <item x="9"/>
      </items>
    </pivotField>
    <pivotField name="NIST Cybersecurity Framework" axis="axisRow" compact="0" numFmtId="165" outline="0" multipleItemSelectionAllowed="1" showAll="0" sortType="ascending" defaultSubtotal="0">
      <items>
        <item x="1"/>
        <item x="33"/>
        <item x="31"/>
        <item x="32"/>
        <item x="40"/>
        <item x="34"/>
        <item x="37"/>
        <item x="36"/>
        <item x="35"/>
        <item x="51"/>
        <item x="43"/>
        <item x="11"/>
        <item x="10"/>
        <item x="6"/>
        <item x="4"/>
        <item x="2"/>
        <item x="41"/>
        <item x="0"/>
        <item x="52"/>
        <item x="13"/>
        <item x="14"/>
        <item x="27"/>
        <item x="39"/>
        <item x="38"/>
        <item x="19"/>
        <item x="7"/>
        <item x="12"/>
        <item x="8"/>
        <item x="28"/>
        <item x="46"/>
        <item x="21"/>
        <item x="26"/>
        <item x="23"/>
        <item x="20"/>
        <item x="24"/>
        <item x="25"/>
        <item x="29"/>
        <item x="30"/>
        <item x="18"/>
        <item x="47"/>
        <item x="49"/>
        <item x="50"/>
        <item x="45"/>
        <item x="42"/>
        <item x="44"/>
        <item x="16"/>
        <item x="17"/>
        <item x="22"/>
        <item x="3"/>
        <item x="15"/>
        <item x="9"/>
        <item x="48"/>
        <item x="5"/>
      </items>
    </pivotField>
    <pivotField name="NIST SP 800-171r1" axis="axisRow" compact="0" numFmtId="165" outline="0" multipleItemSelectionAllowed="1" showAll="0" sortType="ascending" defaultSubtotal="0">
      <items>
        <item x="1"/>
        <item x="18"/>
        <item x="11"/>
        <item x="67"/>
        <item x="9"/>
        <item x="59"/>
        <item x="44"/>
        <item x="30"/>
        <item x="6"/>
        <item x="5"/>
        <item x="68"/>
        <item x="29"/>
        <item x="40"/>
        <item x="28"/>
        <item x="10"/>
        <item x="56"/>
        <item x="19"/>
        <item x="20"/>
        <item x="66"/>
        <item x="47"/>
        <item x="60"/>
        <item x="61"/>
        <item x="22"/>
        <item x="34"/>
        <item x="58"/>
        <item x="50"/>
        <item x="27"/>
        <item x="54"/>
        <item x="23"/>
        <item x="55"/>
        <item x="62"/>
        <item x="43"/>
        <item x="69"/>
        <item x="21"/>
        <item x="57"/>
        <item x="24"/>
        <item x="25"/>
        <item x="26"/>
        <item x="8"/>
        <item x="15"/>
        <item x="16"/>
        <item x="17"/>
        <item x="14"/>
        <item x="12"/>
        <item x="13"/>
        <item x="65"/>
        <item x="51"/>
        <item x="63"/>
        <item x="42"/>
        <item x="41"/>
        <item x="52"/>
        <item x="64"/>
        <item x="70"/>
        <item x="37"/>
        <item x="48"/>
        <item x="38"/>
        <item x="32"/>
        <item x="39"/>
        <item x="46"/>
        <item x="36"/>
        <item x="35"/>
        <item x="4"/>
        <item x="45"/>
        <item x="31"/>
        <item x="33"/>
        <item x="53"/>
        <item x="49"/>
        <item x="2"/>
        <item x="0"/>
        <item x="3"/>
        <item x="7"/>
      </items>
    </pivotField>
    <pivotField name="NIST SP 800-53r4" axis="axisRow" compact="0" numFmtId="165" outline="0" multipleItemSelectionAllowed="1" showAll="0" sortType="ascending" defaultSubtotal="0">
      <items>
        <item x="2"/>
        <item x="65"/>
        <item x="13"/>
        <item x="44"/>
        <item x="18"/>
        <item x="40"/>
        <item x="38"/>
        <item x="31"/>
        <item x="15"/>
        <item x="10"/>
        <item x="30"/>
        <item x="17"/>
        <item x="27"/>
        <item x="23"/>
        <item x="64"/>
        <item x="56"/>
        <item x="55"/>
        <item x="61"/>
        <item x="28"/>
        <item x="43"/>
        <item x="66"/>
        <item x="24"/>
        <item x="67"/>
        <item x="3"/>
        <item x="26"/>
        <item x="25"/>
        <item x="53"/>
        <item x="4"/>
        <item x="49"/>
        <item x="52"/>
        <item x="51"/>
        <item x="54"/>
        <item x="57"/>
        <item x="16"/>
        <item x="14"/>
        <item x="58"/>
        <item x="59"/>
        <item x="29"/>
        <item x="50"/>
        <item x="34"/>
        <item x="37"/>
        <item x="36"/>
        <item x="1"/>
        <item x="21"/>
        <item x="19"/>
        <item x="22"/>
        <item x="20"/>
        <item x="42"/>
        <item x="62"/>
        <item x="63"/>
        <item x="11"/>
        <item x="32"/>
        <item x="46"/>
        <item x="7"/>
        <item x="45"/>
        <item x="33"/>
        <item x="41"/>
        <item x="6"/>
        <item x="47"/>
        <item x="48"/>
        <item x="8"/>
        <item x="9"/>
        <item x="0"/>
        <item x="68"/>
        <item x="5"/>
        <item x="35"/>
        <item x="39"/>
        <item x="60"/>
        <item x="12"/>
      </items>
    </pivotField>
    <pivotField name="PCI DSS" axis="axisRow" compact="0" outline="0" multipleItemSelectionAllowed="1" showAll="0" sortType="ascending">
      <items>
        <item x="0"/>
        <item x="29"/>
        <item x="9"/>
        <item x="34"/>
        <item x="39"/>
        <item x="17"/>
        <item x="49"/>
        <item x="30"/>
        <item x="31"/>
        <item x="2"/>
        <item x="53"/>
        <item x="47"/>
        <item x="44"/>
        <item x="1"/>
        <item x="28"/>
        <item x="33"/>
        <item x="15"/>
        <item x="16"/>
        <item x="50"/>
        <item x="51"/>
        <item x="32"/>
        <item x="23"/>
        <item x="48"/>
        <item x="20"/>
        <item x="21"/>
        <item x="46"/>
        <item x="35"/>
        <item x="5"/>
        <item x="52"/>
        <item x="43"/>
        <item x="24"/>
        <item x="22"/>
        <item x="36"/>
        <item x="38"/>
        <item x="45"/>
        <item x="54"/>
        <item x="26"/>
        <item x="8"/>
        <item x="25"/>
        <item x="10"/>
        <item x="14"/>
        <item x="42"/>
        <item x="40"/>
        <item x="41"/>
        <item x="19"/>
        <item x="18"/>
        <item x="37"/>
        <item x="7"/>
        <item x="11"/>
        <item x="13"/>
        <item x="27"/>
        <item x="4"/>
        <item x="3"/>
        <item x="12"/>
        <item x="6"/>
        <item t="default"/>
      </items>
    </pivotField>
  </pivotFields>
  <rowFields>
    <field x="0"/>
    <field x="1"/>
    <field x="2"/>
    <field x="3"/>
    <field x="12"/>
    <field x="13"/>
    <field x="14"/>
    <field x="15"/>
    <field x="16"/>
    <field x="17"/>
    <field x="18"/>
  </rowFields>
  <pageFields>
    <pageField fld="4"/>
    <pageField fld="9"/>
  </pageFields>
  <pivotTableStyleInfo name="Google Sheets Pivot Table Style" showRowHeaders="1" showColHeaders="1" showLastColumn="1"/>
</pivotTableDefinition>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ivy.ai/privacy" TargetMode="External"/><Relationship Id="rId3" Type="http://schemas.openxmlformats.org/officeDocument/2006/relationships/hyperlink" Target="https://cloud.google.com/security" TargetMode="External"/><Relationship Id="rId4" Type="http://schemas.openxmlformats.org/officeDocument/2006/relationships/hyperlink" Target="https://cloud.google.com/security" TargetMode="External"/><Relationship Id="rId5" Type="http://schemas.openxmlformats.org/officeDocument/2006/relationships/drawing" Target="../drawings/drawing3.xml"/><Relationship Id="rId6"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hyperlink" Target="https://cloud.google.com/security/compliance/soc-2/" TargetMode="External"/><Relationship Id="rId3" Type="http://schemas.openxmlformats.org/officeDocument/2006/relationships/hyperlink" Target="https://cloud.google.com/security" TargetMode="External"/><Relationship Id="rId4" Type="http://schemas.openxmlformats.org/officeDocument/2006/relationships/hyperlink" Target="https://cloud.google.com/security" TargetMode="External"/><Relationship Id="rId5" Type="http://schemas.openxmlformats.org/officeDocument/2006/relationships/hyperlink" Target="https://cloud.google.com/security" TargetMode="External"/><Relationship Id="rId6" Type="http://schemas.openxmlformats.org/officeDocument/2006/relationships/hyperlink" Target="http://google.com/security" TargetMode="External"/><Relationship Id="rId7" Type="http://schemas.openxmlformats.org/officeDocument/2006/relationships/hyperlink" Target="http://google.com/security" TargetMode="External"/><Relationship Id="rId8"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fitToPage="1"/>
  </sheetPr>
  <sheetViews>
    <sheetView showGridLines="0" workbookViewId="0"/>
  </sheetViews>
  <sheetFormatPr customHeight="1" defaultColWidth="11.22" defaultRowHeight="15.0"/>
  <cols>
    <col customWidth="1" min="1" max="1" width="31.78"/>
    <col customWidth="1" min="2" max="2" width="45.0"/>
    <col customWidth="1" min="3" max="26" width="6.67"/>
  </cols>
  <sheetData>
    <row r="1" ht="42.0" customHeight="1">
      <c r="A1" s="4"/>
      <c r="B1" s="5"/>
      <c r="C1" s="11"/>
      <c r="D1" s="11"/>
      <c r="E1" s="11"/>
      <c r="F1" s="11"/>
      <c r="G1" s="11"/>
      <c r="H1" s="11"/>
      <c r="I1" s="11"/>
      <c r="J1" s="11"/>
      <c r="K1" s="11"/>
      <c r="L1" s="11"/>
      <c r="M1" s="11"/>
      <c r="N1" s="11"/>
      <c r="O1" s="11"/>
      <c r="P1" s="11"/>
      <c r="Q1" s="11"/>
      <c r="R1" s="11"/>
      <c r="S1" s="11"/>
      <c r="T1" s="11"/>
      <c r="U1" s="11"/>
      <c r="V1" s="11"/>
      <c r="W1" s="11"/>
      <c r="X1" s="11"/>
      <c r="Y1" s="11"/>
      <c r="Z1" s="11"/>
    </row>
    <row r="2" ht="12.75" customHeight="1">
      <c r="A2" s="13"/>
      <c r="B2" s="15"/>
      <c r="C2" s="11"/>
      <c r="D2" s="11"/>
      <c r="E2" s="11"/>
      <c r="F2" s="11"/>
      <c r="G2" s="11"/>
      <c r="H2" s="11"/>
      <c r="I2" s="11"/>
      <c r="J2" s="11"/>
      <c r="K2" s="11"/>
      <c r="L2" s="11"/>
      <c r="M2" s="11"/>
      <c r="N2" s="11"/>
      <c r="O2" s="11"/>
      <c r="P2" s="11"/>
      <c r="Q2" s="11"/>
      <c r="R2" s="11"/>
      <c r="S2" s="11"/>
      <c r="T2" s="11"/>
      <c r="U2" s="11"/>
      <c r="V2" s="11"/>
      <c r="W2" s="11"/>
      <c r="X2" s="11"/>
      <c r="Y2" s="11"/>
      <c r="Z2" s="11"/>
    </row>
    <row r="3" ht="12.75" customHeight="1">
      <c r="A3" s="13"/>
      <c r="B3" s="15"/>
      <c r="C3" s="11"/>
      <c r="D3" s="11"/>
      <c r="E3" s="11"/>
      <c r="F3" s="11"/>
      <c r="G3" s="11"/>
      <c r="H3" s="11"/>
      <c r="I3" s="11"/>
      <c r="J3" s="11"/>
      <c r="K3" s="11"/>
      <c r="L3" s="11"/>
      <c r="M3" s="11"/>
      <c r="N3" s="11"/>
      <c r="O3" s="11"/>
      <c r="P3" s="11"/>
      <c r="Q3" s="11"/>
      <c r="R3" s="11"/>
      <c r="S3" s="11"/>
      <c r="T3" s="11"/>
      <c r="U3" s="11"/>
      <c r="V3" s="11"/>
      <c r="W3" s="11"/>
      <c r="X3" s="11"/>
      <c r="Y3" s="11"/>
      <c r="Z3" s="11"/>
    </row>
    <row r="4" ht="12.75" customHeight="1">
      <c r="A4" s="13"/>
      <c r="B4" s="15"/>
      <c r="C4" s="11"/>
      <c r="D4" s="11"/>
      <c r="E4" s="11"/>
      <c r="F4" s="11"/>
      <c r="G4" s="11"/>
      <c r="H4" s="11"/>
      <c r="I4" s="11"/>
      <c r="J4" s="11"/>
      <c r="K4" s="11"/>
      <c r="L4" s="11"/>
      <c r="M4" s="11"/>
      <c r="N4" s="11"/>
      <c r="O4" s="11"/>
      <c r="P4" s="11"/>
      <c r="Q4" s="11"/>
      <c r="R4" s="11"/>
      <c r="S4" s="11"/>
      <c r="T4" s="11"/>
      <c r="U4" s="11"/>
      <c r="V4" s="11"/>
      <c r="W4" s="11"/>
      <c r="X4" s="11"/>
      <c r="Y4" s="11"/>
      <c r="Z4" s="11"/>
    </row>
    <row r="5" ht="12.75" customHeight="1">
      <c r="A5" s="13"/>
      <c r="B5" s="15"/>
      <c r="C5" s="11"/>
      <c r="D5" s="11"/>
      <c r="E5" s="11"/>
      <c r="F5" s="11"/>
      <c r="G5" s="11"/>
      <c r="H5" s="11"/>
      <c r="I5" s="11"/>
      <c r="J5" s="11"/>
      <c r="K5" s="11"/>
      <c r="L5" s="11"/>
      <c r="M5" s="11"/>
      <c r="N5" s="11"/>
      <c r="O5" s="11"/>
      <c r="P5" s="11"/>
      <c r="Q5" s="11"/>
      <c r="R5" s="11"/>
      <c r="S5" s="11"/>
      <c r="T5" s="11"/>
      <c r="U5" s="11"/>
      <c r="V5" s="11"/>
      <c r="W5" s="11"/>
      <c r="X5" s="11"/>
      <c r="Y5" s="11"/>
      <c r="Z5" s="11"/>
    </row>
    <row r="6" ht="12.75" customHeight="1">
      <c r="A6" s="13"/>
      <c r="B6" s="15"/>
      <c r="C6" s="11"/>
      <c r="D6" s="11"/>
      <c r="E6" s="11"/>
      <c r="F6" s="11"/>
      <c r="G6" s="11"/>
      <c r="H6" s="11"/>
      <c r="I6" s="11"/>
      <c r="J6" s="11"/>
      <c r="K6" s="11"/>
      <c r="L6" s="11"/>
      <c r="M6" s="11"/>
      <c r="N6" s="11"/>
      <c r="O6" s="11"/>
      <c r="P6" s="11"/>
      <c r="Q6" s="11"/>
      <c r="R6" s="11"/>
      <c r="S6" s="11"/>
      <c r="T6" s="11"/>
      <c r="U6" s="11"/>
      <c r="V6" s="11"/>
      <c r="W6" s="11"/>
      <c r="X6" s="11"/>
      <c r="Y6" s="11"/>
      <c r="Z6" s="11"/>
    </row>
    <row r="7" ht="12.75" customHeight="1">
      <c r="A7" s="13"/>
      <c r="B7" s="15"/>
      <c r="C7" s="11"/>
      <c r="D7" s="11"/>
      <c r="E7" s="11"/>
      <c r="F7" s="11"/>
      <c r="G7" s="11"/>
      <c r="H7" s="11"/>
      <c r="I7" s="11"/>
      <c r="J7" s="11"/>
      <c r="K7" s="11"/>
      <c r="L7" s="11"/>
      <c r="M7" s="11"/>
      <c r="N7" s="11"/>
      <c r="O7" s="11"/>
      <c r="P7" s="11"/>
      <c r="Q7" s="11"/>
      <c r="R7" s="11"/>
      <c r="S7" s="11"/>
      <c r="T7" s="11"/>
      <c r="U7" s="11"/>
      <c r="V7" s="11"/>
      <c r="W7" s="11"/>
      <c r="X7" s="11"/>
      <c r="Y7" s="11"/>
      <c r="Z7" s="11"/>
    </row>
    <row r="8" ht="12.75" customHeight="1">
      <c r="A8" s="13"/>
      <c r="B8" s="15"/>
      <c r="C8" s="11"/>
      <c r="D8" s="11"/>
      <c r="E8" s="11"/>
      <c r="F8" s="11"/>
      <c r="G8" s="11"/>
      <c r="H8" s="11"/>
      <c r="I8" s="11"/>
      <c r="J8" s="11"/>
      <c r="K8" s="11"/>
      <c r="L8" s="11"/>
      <c r="M8" s="11"/>
      <c r="N8" s="11"/>
      <c r="O8" s="11"/>
      <c r="P8" s="11"/>
      <c r="Q8" s="11"/>
      <c r="R8" s="11"/>
      <c r="S8" s="11"/>
      <c r="T8" s="11"/>
      <c r="U8" s="11"/>
      <c r="V8" s="11"/>
      <c r="W8" s="11"/>
      <c r="X8" s="11"/>
      <c r="Y8" s="11"/>
      <c r="Z8" s="11"/>
    </row>
    <row r="9" ht="12.75" customHeight="1">
      <c r="A9" s="13"/>
      <c r="B9" s="15"/>
      <c r="C9" s="11"/>
      <c r="D9" s="11"/>
      <c r="E9" s="11"/>
      <c r="F9" s="11"/>
      <c r="G9" s="11"/>
      <c r="H9" s="11"/>
      <c r="I9" s="11"/>
      <c r="J9" s="11"/>
      <c r="K9" s="11"/>
      <c r="L9" s="11"/>
      <c r="M9" s="11"/>
      <c r="N9" s="11"/>
      <c r="O9" s="11"/>
      <c r="P9" s="11"/>
      <c r="Q9" s="11"/>
      <c r="R9" s="11"/>
      <c r="S9" s="11"/>
      <c r="T9" s="11"/>
      <c r="U9" s="11"/>
      <c r="V9" s="11"/>
      <c r="W9" s="11"/>
      <c r="X9" s="11"/>
      <c r="Y9" s="11"/>
      <c r="Z9" s="11"/>
    </row>
    <row r="10" ht="12.75" customHeight="1">
      <c r="A10" s="13"/>
      <c r="B10" s="15"/>
      <c r="C10" s="11"/>
      <c r="D10" s="11"/>
      <c r="E10" s="11"/>
      <c r="F10" s="11"/>
      <c r="G10" s="11"/>
      <c r="H10" s="11"/>
      <c r="I10" s="11"/>
      <c r="J10" s="11"/>
      <c r="K10" s="11"/>
      <c r="L10" s="11"/>
      <c r="M10" s="11"/>
      <c r="N10" s="11"/>
      <c r="O10" s="11"/>
      <c r="P10" s="11"/>
      <c r="Q10" s="11"/>
      <c r="R10" s="11"/>
      <c r="S10" s="11"/>
      <c r="T10" s="11"/>
      <c r="U10" s="11"/>
      <c r="V10" s="11"/>
      <c r="W10" s="11"/>
      <c r="X10" s="11"/>
      <c r="Y10" s="11"/>
      <c r="Z10" s="11"/>
    </row>
    <row r="11" ht="12.75" customHeight="1">
      <c r="A11" s="13"/>
      <c r="B11" s="15"/>
      <c r="C11" s="11"/>
      <c r="D11" s="11"/>
      <c r="E11" s="11"/>
      <c r="F11" s="11"/>
      <c r="G11" s="11"/>
      <c r="H11" s="11"/>
      <c r="I11" s="11"/>
      <c r="J11" s="11"/>
      <c r="K11" s="11"/>
      <c r="L11" s="11"/>
      <c r="M11" s="11"/>
      <c r="N11" s="11"/>
      <c r="O11" s="11"/>
      <c r="P11" s="11"/>
      <c r="Q11" s="11"/>
      <c r="R11" s="11"/>
      <c r="S11" s="11"/>
      <c r="T11" s="11"/>
      <c r="U11" s="11"/>
      <c r="V11" s="11"/>
      <c r="W11" s="11"/>
      <c r="X11" s="11"/>
      <c r="Y11" s="11"/>
      <c r="Z11" s="11"/>
    </row>
    <row r="12" ht="12.75" customHeight="1">
      <c r="A12" s="13"/>
      <c r="B12" s="15"/>
      <c r="C12" s="11"/>
      <c r="D12" s="11"/>
      <c r="E12" s="11"/>
      <c r="F12" s="11"/>
      <c r="G12" s="11"/>
      <c r="H12" s="11"/>
      <c r="I12" s="11"/>
      <c r="J12" s="11"/>
      <c r="K12" s="11"/>
      <c r="L12" s="11"/>
      <c r="M12" s="11"/>
      <c r="N12" s="11"/>
      <c r="O12" s="11"/>
      <c r="P12" s="11"/>
      <c r="Q12" s="11"/>
      <c r="R12" s="11"/>
      <c r="S12" s="11"/>
      <c r="T12" s="11"/>
      <c r="U12" s="11"/>
      <c r="V12" s="11"/>
      <c r="W12" s="11"/>
      <c r="X12" s="11"/>
      <c r="Y12" s="11"/>
      <c r="Z12" s="11"/>
    </row>
    <row r="13" ht="12.75" customHeight="1">
      <c r="A13" s="13"/>
      <c r="B13" s="15"/>
      <c r="C13" s="11"/>
      <c r="D13" s="11"/>
      <c r="E13" s="11"/>
      <c r="F13" s="11"/>
      <c r="G13" s="11"/>
      <c r="H13" s="11"/>
      <c r="I13" s="11"/>
      <c r="J13" s="11"/>
      <c r="K13" s="11"/>
      <c r="L13" s="11"/>
      <c r="M13" s="11"/>
      <c r="N13" s="11"/>
      <c r="O13" s="11"/>
      <c r="P13" s="11"/>
      <c r="Q13" s="11"/>
      <c r="R13" s="11"/>
      <c r="S13" s="11"/>
      <c r="T13" s="11"/>
      <c r="U13" s="11"/>
      <c r="V13" s="11"/>
      <c r="W13" s="11"/>
      <c r="X13" s="11"/>
      <c r="Y13" s="11"/>
      <c r="Z13" s="11"/>
    </row>
    <row r="14" ht="12.75" customHeight="1">
      <c r="A14" s="13"/>
      <c r="B14" s="15"/>
      <c r="C14" s="11"/>
      <c r="D14" s="11"/>
      <c r="E14" s="11"/>
      <c r="F14" s="11"/>
      <c r="G14" s="11"/>
      <c r="H14" s="11"/>
      <c r="I14" s="11"/>
      <c r="J14" s="11"/>
      <c r="K14" s="11"/>
      <c r="L14" s="11"/>
      <c r="M14" s="11"/>
      <c r="N14" s="11"/>
      <c r="O14" s="11"/>
      <c r="P14" s="11"/>
      <c r="Q14" s="11"/>
      <c r="R14" s="11"/>
      <c r="S14" s="11"/>
      <c r="T14" s="11"/>
      <c r="U14" s="11"/>
      <c r="V14" s="11"/>
      <c r="W14" s="11"/>
      <c r="X14" s="11"/>
      <c r="Y14" s="11"/>
      <c r="Z14" s="11"/>
    </row>
    <row r="15" ht="12.75" customHeight="1">
      <c r="A15" s="13"/>
      <c r="B15" s="15"/>
      <c r="C15" s="11"/>
      <c r="D15" s="11"/>
      <c r="E15" s="11"/>
      <c r="F15" s="11"/>
      <c r="G15" s="11"/>
      <c r="H15" s="11"/>
      <c r="I15" s="11"/>
      <c r="J15" s="11"/>
      <c r="K15" s="11"/>
      <c r="L15" s="11"/>
      <c r="M15" s="11"/>
      <c r="N15" s="11"/>
      <c r="O15" s="11"/>
      <c r="P15" s="11"/>
      <c r="Q15" s="11"/>
      <c r="R15" s="11"/>
      <c r="S15" s="11"/>
      <c r="T15" s="11"/>
      <c r="U15" s="11"/>
      <c r="V15" s="11"/>
      <c r="W15" s="11"/>
      <c r="X15" s="11"/>
      <c r="Y15" s="11"/>
      <c r="Z15" s="11"/>
    </row>
    <row r="16" ht="12.75" customHeight="1">
      <c r="A16" s="13"/>
      <c r="B16" s="15"/>
      <c r="C16" s="11"/>
      <c r="D16" s="11"/>
      <c r="E16" s="11"/>
      <c r="F16" s="11"/>
      <c r="G16" s="11"/>
      <c r="H16" s="11"/>
      <c r="I16" s="11"/>
      <c r="J16" s="11"/>
      <c r="K16" s="11"/>
      <c r="L16" s="11"/>
      <c r="M16" s="11"/>
      <c r="N16" s="11"/>
      <c r="O16" s="11"/>
      <c r="P16" s="11"/>
      <c r="Q16" s="11"/>
      <c r="R16" s="11"/>
      <c r="S16" s="11"/>
      <c r="T16" s="11"/>
      <c r="U16" s="11"/>
      <c r="V16" s="11"/>
      <c r="W16" s="11"/>
      <c r="X16" s="11"/>
      <c r="Y16" s="11"/>
      <c r="Z16" s="11"/>
    </row>
    <row r="17" ht="12.75" customHeight="1">
      <c r="A17" s="13"/>
      <c r="B17" s="15"/>
      <c r="C17" s="11"/>
      <c r="D17" s="11"/>
      <c r="E17" s="11"/>
      <c r="F17" s="11"/>
      <c r="G17" s="11"/>
      <c r="H17" s="11"/>
      <c r="I17" s="11"/>
      <c r="J17" s="11"/>
      <c r="K17" s="11"/>
      <c r="L17" s="11"/>
      <c r="M17" s="11"/>
      <c r="N17" s="11"/>
      <c r="O17" s="11"/>
      <c r="P17" s="11"/>
      <c r="Q17" s="11"/>
      <c r="R17" s="11"/>
      <c r="S17" s="11"/>
      <c r="T17" s="11"/>
      <c r="U17" s="11"/>
      <c r="V17" s="11"/>
      <c r="W17" s="11"/>
      <c r="X17" s="11"/>
      <c r="Y17" s="11"/>
      <c r="Z17" s="11"/>
    </row>
    <row r="18" ht="12.75" customHeight="1">
      <c r="A18" s="13"/>
      <c r="B18" s="15"/>
      <c r="C18" s="11"/>
      <c r="D18" s="11"/>
      <c r="E18" s="11"/>
      <c r="F18" s="11"/>
      <c r="G18" s="11"/>
      <c r="H18" s="11"/>
      <c r="I18" s="11"/>
      <c r="J18" s="11"/>
      <c r="K18" s="11"/>
      <c r="L18" s="11"/>
      <c r="M18" s="11"/>
      <c r="N18" s="11"/>
      <c r="O18" s="11"/>
      <c r="P18" s="11"/>
      <c r="Q18" s="11"/>
      <c r="R18" s="11"/>
      <c r="S18" s="11"/>
      <c r="T18" s="11"/>
      <c r="U18" s="11"/>
      <c r="V18" s="11"/>
      <c r="W18" s="11"/>
      <c r="X18" s="11"/>
      <c r="Y18" s="11"/>
      <c r="Z18" s="11"/>
    </row>
    <row r="19" ht="12.75" customHeight="1">
      <c r="A19" s="13"/>
      <c r="B19" s="15"/>
      <c r="C19" s="11"/>
      <c r="D19" s="11"/>
      <c r="E19" s="11"/>
      <c r="F19" s="11"/>
      <c r="G19" s="11"/>
      <c r="H19" s="11"/>
      <c r="I19" s="11"/>
      <c r="J19" s="11"/>
      <c r="K19" s="11"/>
      <c r="L19" s="11"/>
      <c r="M19" s="11"/>
      <c r="N19" s="11"/>
      <c r="O19" s="11"/>
      <c r="P19" s="11"/>
      <c r="Q19" s="11"/>
      <c r="R19" s="11"/>
      <c r="S19" s="11"/>
      <c r="T19" s="11"/>
      <c r="U19" s="11"/>
      <c r="V19" s="11"/>
      <c r="W19" s="11"/>
      <c r="X19" s="11"/>
      <c r="Y19" s="11"/>
      <c r="Z19" s="11"/>
    </row>
    <row r="20" ht="12.75" customHeight="1">
      <c r="A20" s="13"/>
      <c r="B20" s="15"/>
      <c r="C20" s="11"/>
      <c r="D20" s="11"/>
      <c r="E20" s="11"/>
      <c r="F20" s="11"/>
      <c r="G20" s="11"/>
      <c r="H20" s="11"/>
      <c r="I20" s="11"/>
      <c r="J20" s="11"/>
      <c r="K20" s="11"/>
      <c r="L20" s="11"/>
      <c r="M20" s="11"/>
      <c r="N20" s="11"/>
      <c r="O20" s="11"/>
      <c r="P20" s="11"/>
      <c r="Q20" s="11"/>
      <c r="R20" s="11"/>
      <c r="S20" s="11"/>
      <c r="T20" s="11"/>
      <c r="U20" s="11"/>
      <c r="V20" s="11"/>
      <c r="W20" s="11"/>
      <c r="X20" s="11"/>
      <c r="Y20" s="11"/>
      <c r="Z20" s="11"/>
    </row>
    <row r="21" ht="12.75" customHeight="1">
      <c r="A21" s="13"/>
      <c r="B21" s="15"/>
      <c r="C21" s="11"/>
      <c r="D21" s="11"/>
      <c r="E21" s="11"/>
      <c r="F21" s="11"/>
      <c r="G21" s="11"/>
      <c r="H21" s="11"/>
      <c r="I21" s="11"/>
      <c r="J21" s="11"/>
      <c r="K21" s="11"/>
      <c r="L21" s="11"/>
      <c r="M21" s="11"/>
      <c r="N21" s="11"/>
      <c r="O21" s="11"/>
      <c r="P21" s="11"/>
      <c r="Q21" s="11"/>
      <c r="R21" s="11"/>
      <c r="S21" s="11"/>
      <c r="T21" s="11"/>
      <c r="U21" s="11"/>
      <c r="V21" s="11"/>
      <c r="W21" s="11"/>
      <c r="X21" s="11"/>
      <c r="Y21" s="11"/>
      <c r="Z21" s="11"/>
    </row>
    <row r="22" ht="12.75" customHeight="1">
      <c r="A22" s="13"/>
      <c r="B22" s="15"/>
      <c r="C22" s="11"/>
      <c r="D22" s="11"/>
      <c r="E22" s="11"/>
      <c r="F22" s="11"/>
      <c r="G22" s="11"/>
      <c r="H22" s="11"/>
      <c r="I22" s="11"/>
      <c r="J22" s="11"/>
      <c r="K22" s="11"/>
      <c r="L22" s="11"/>
      <c r="M22" s="11"/>
      <c r="N22" s="11"/>
      <c r="O22" s="11"/>
      <c r="P22" s="11"/>
      <c r="Q22" s="11"/>
      <c r="R22" s="11"/>
      <c r="S22" s="11"/>
      <c r="T22" s="11"/>
      <c r="U22" s="11"/>
      <c r="V22" s="11"/>
      <c r="W22" s="11"/>
      <c r="X22" s="11"/>
      <c r="Y22" s="11"/>
      <c r="Z22" s="11"/>
    </row>
    <row r="23" ht="12.75" customHeight="1">
      <c r="A23" s="13"/>
      <c r="B23" s="15"/>
      <c r="C23" s="11"/>
      <c r="D23" s="11"/>
      <c r="E23" s="11"/>
      <c r="F23" s="11"/>
      <c r="G23" s="11"/>
      <c r="H23" s="11"/>
      <c r="I23" s="11"/>
      <c r="J23" s="11"/>
      <c r="K23" s="11"/>
      <c r="L23" s="11"/>
      <c r="M23" s="11"/>
      <c r="N23" s="11"/>
      <c r="O23" s="11"/>
      <c r="P23" s="11"/>
      <c r="Q23" s="11"/>
      <c r="R23" s="11"/>
      <c r="S23" s="11"/>
      <c r="T23" s="11"/>
      <c r="U23" s="11"/>
      <c r="V23" s="11"/>
      <c r="W23" s="11"/>
      <c r="X23" s="11"/>
      <c r="Y23" s="11"/>
      <c r="Z23" s="11"/>
    </row>
    <row r="24" ht="12.75" customHeight="1">
      <c r="A24" s="13"/>
      <c r="B24" s="15"/>
      <c r="C24" s="11"/>
      <c r="D24" s="11"/>
      <c r="E24" s="11"/>
      <c r="F24" s="11"/>
      <c r="G24" s="11"/>
      <c r="H24" s="11"/>
      <c r="I24" s="11"/>
      <c r="J24" s="11"/>
      <c r="K24" s="11"/>
      <c r="L24" s="11"/>
      <c r="M24" s="11"/>
      <c r="N24" s="11"/>
      <c r="O24" s="11"/>
      <c r="P24" s="11"/>
      <c r="Q24" s="11"/>
      <c r="R24" s="11"/>
      <c r="S24" s="11"/>
      <c r="T24" s="11"/>
      <c r="U24" s="11"/>
      <c r="V24" s="11"/>
      <c r="W24" s="11"/>
      <c r="X24" s="11"/>
      <c r="Y24" s="11"/>
      <c r="Z24" s="11"/>
    </row>
    <row r="25" ht="12.75" customHeight="1">
      <c r="A25" s="13"/>
      <c r="B25" s="15"/>
      <c r="C25" s="11"/>
      <c r="D25" s="11"/>
      <c r="E25" s="11"/>
      <c r="F25" s="11"/>
      <c r="G25" s="11"/>
      <c r="H25" s="11"/>
      <c r="I25" s="11"/>
      <c r="J25" s="11"/>
      <c r="K25" s="11"/>
      <c r="L25" s="11"/>
      <c r="M25" s="11"/>
      <c r="N25" s="11"/>
      <c r="O25" s="11"/>
      <c r="P25" s="11"/>
      <c r="Q25" s="11"/>
      <c r="R25" s="11"/>
      <c r="S25" s="11"/>
      <c r="T25" s="11"/>
      <c r="U25" s="11"/>
      <c r="V25" s="11"/>
      <c r="W25" s="11"/>
      <c r="X25" s="11"/>
      <c r="Y25" s="11"/>
      <c r="Z25" s="11"/>
    </row>
    <row r="26" ht="12.75" customHeight="1">
      <c r="A26" s="13"/>
      <c r="B26" s="15"/>
      <c r="C26" s="11"/>
      <c r="D26" s="11"/>
      <c r="E26" s="11"/>
      <c r="F26" s="11"/>
      <c r="G26" s="11"/>
      <c r="H26" s="11"/>
      <c r="I26" s="11"/>
      <c r="J26" s="11"/>
      <c r="K26" s="11"/>
      <c r="L26" s="11"/>
      <c r="M26" s="11"/>
      <c r="N26" s="11"/>
      <c r="O26" s="11"/>
      <c r="P26" s="11"/>
      <c r="Q26" s="11"/>
      <c r="R26" s="11"/>
      <c r="S26" s="11"/>
      <c r="T26" s="11"/>
      <c r="U26" s="11"/>
      <c r="V26" s="11"/>
      <c r="W26" s="11"/>
      <c r="X26" s="11"/>
      <c r="Y26" s="11"/>
      <c r="Z26" s="11"/>
    </row>
    <row r="27" ht="12.75" customHeight="1">
      <c r="A27" s="13"/>
      <c r="B27" s="15"/>
      <c r="C27" s="11"/>
      <c r="D27" s="11"/>
      <c r="E27" s="11"/>
      <c r="F27" s="11"/>
      <c r="G27" s="11"/>
      <c r="H27" s="11"/>
      <c r="I27" s="11"/>
      <c r="J27" s="11"/>
      <c r="K27" s="11"/>
      <c r="L27" s="11"/>
      <c r="M27" s="11"/>
      <c r="N27" s="11"/>
      <c r="O27" s="11"/>
      <c r="P27" s="11"/>
      <c r="Q27" s="11"/>
      <c r="R27" s="11"/>
      <c r="S27" s="11"/>
      <c r="T27" s="11"/>
      <c r="U27" s="11"/>
      <c r="V27" s="11"/>
      <c r="W27" s="11"/>
      <c r="X27" s="11"/>
      <c r="Y27" s="11"/>
      <c r="Z27" s="11"/>
    </row>
    <row r="28" ht="12.75" customHeight="1">
      <c r="A28" s="13"/>
      <c r="B28" s="15"/>
      <c r="C28" s="11"/>
      <c r="D28" s="11"/>
      <c r="E28" s="11"/>
      <c r="F28" s="11"/>
      <c r="G28" s="11"/>
      <c r="H28" s="11"/>
      <c r="I28" s="11"/>
      <c r="J28" s="11"/>
      <c r="K28" s="11"/>
      <c r="L28" s="11"/>
      <c r="M28" s="11"/>
      <c r="N28" s="11"/>
      <c r="O28" s="11"/>
      <c r="P28" s="11"/>
      <c r="Q28" s="11"/>
      <c r="R28" s="11"/>
      <c r="S28" s="11"/>
      <c r="T28" s="11"/>
      <c r="U28" s="11"/>
      <c r="V28" s="11"/>
      <c r="W28" s="11"/>
      <c r="X28" s="11"/>
      <c r="Y28" s="11"/>
      <c r="Z28" s="11"/>
    </row>
    <row r="29" ht="12.75" customHeight="1">
      <c r="A29" s="13"/>
      <c r="B29" s="15"/>
      <c r="C29" s="11"/>
      <c r="D29" s="11"/>
      <c r="E29" s="11"/>
      <c r="F29" s="11"/>
      <c r="G29" s="11"/>
      <c r="H29" s="11"/>
      <c r="I29" s="11"/>
      <c r="J29" s="11"/>
      <c r="K29" s="11"/>
      <c r="L29" s="11"/>
      <c r="M29" s="11"/>
      <c r="N29" s="11"/>
      <c r="O29" s="11"/>
      <c r="P29" s="11"/>
      <c r="Q29" s="11"/>
      <c r="R29" s="11"/>
      <c r="S29" s="11"/>
      <c r="T29" s="11"/>
      <c r="U29" s="11"/>
      <c r="V29" s="11"/>
      <c r="W29" s="11"/>
      <c r="X29" s="11"/>
      <c r="Y29" s="11"/>
      <c r="Z29" s="11"/>
    </row>
    <row r="30" ht="12.75" customHeight="1">
      <c r="A30" s="13"/>
      <c r="B30" s="15"/>
      <c r="C30" s="11"/>
      <c r="D30" s="11"/>
      <c r="E30" s="11"/>
      <c r="F30" s="11"/>
      <c r="G30" s="11"/>
      <c r="H30" s="11"/>
      <c r="I30" s="11"/>
      <c r="J30" s="11"/>
      <c r="K30" s="11"/>
      <c r="L30" s="11"/>
      <c r="M30" s="11"/>
      <c r="N30" s="11"/>
      <c r="O30" s="11"/>
      <c r="P30" s="11"/>
      <c r="Q30" s="11"/>
      <c r="R30" s="11"/>
      <c r="S30" s="11"/>
      <c r="T30" s="11"/>
      <c r="U30" s="11"/>
      <c r="V30" s="11"/>
      <c r="W30" s="11"/>
      <c r="X30" s="11"/>
      <c r="Y30" s="11"/>
      <c r="Z30" s="11"/>
    </row>
    <row r="31" ht="12.75" customHeight="1">
      <c r="A31" s="13"/>
      <c r="B31" s="15"/>
      <c r="C31" s="11"/>
      <c r="D31" s="11"/>
      <c r="E31" s="11"/>
      <c r="F31" s="11"/>
      <c r="G31" s="11"/>
      <c r="H31" s="11"/>
      <c r="I31" s="11"/>
      <c r="J31" s="11"/>
      <c r="K31" s="11"/>
      <c r="L31" s="11"/>
      <c r="M31" s="11"/>
      <c r="N31" s="11"/>
      <c r="O31" s="11"/>
      <c r="P31" s="11"/>
      <c r="Q31" s="11"/>
      <c r="R31" s="11"/>
      <c r="S31" s="11"/>
      <c r="T31" s="11"/>
      <c r="U31" s="11"/>
      <c r="V31" s="11"/>
      <c r="W31" s="11"/>
      <c r="X31" s="11"/>
      <c r="Y31" s="11"/>
      <c r="Z31" s="11"/>
    </row>
    <row r="32" ht="12.75" customHeight="1">
      <c r="A32" s="13"/>
      <c r="B32" s="15"/>
      <c r="C32" s="11"/>
      <c r="D32" s="11"/>
      <c r="E32" s="11"/>
      <c r="F32" s="11"/>
      <c r="G32" s="11"/>
      <c r="H32" s="11"/>
      <c r="I32" s="11"/>
      <c r="J32" s="11"/>
      <c r="K32" s="11"/>
      <c r="L32" s="11"/>
      <c r="M32" s="11"/>
      <c r="N32" s="11"/>
      <c r="O32" s="11"/>
      <c r="P32" s="11"/>
      <c r="Q32" s="11"/>
      <c r="R32" s="11"/>
      <c r="S32" s="11"/>
      <c r="T32" s="11"/>
      <c r="U32" s="11"/>
      <c r="V32" s="11"/>
      <c r="W32" s="11"/>
      <c r="X32" s="11"/>
      <c r="Y32" s="11"/>
      <c r="Z32" s="11"/>
    </row>
    <row r="33" ht="12.75" customHeight="1">
      <c r="A33" s="13"/>
      <c r="B33" s="15"/>
      <c r="C33" s="11"/>
      <c r="D33" s="11"/>
      <c r="E33" s="11"/>
      <c r="F33" s="11"/>
      <c r="G33" s="11"/>
      <c r="H33" s="11"/>
      <c r="I33" s="11"/>
      <c r="J33" s="11"/>
      <c r="K33" s="11"/>
      <c r="L33" s="11"/>
      <c r="M33" s="11"/>
      <c r="N33" s="11"/>
      <c r="O33" s="11"/>
      <c r="P33" s="11"/>
      <c r="Q33" s="11"/>
      <c r="R33" s="11"/>
      <c r="S33" s="11"/>
      <c r="T33" s="11"/>
      <c r="U33" s="11"/>
      <c r="V33" s="11"/>
      <c r="W33" s="11"/>
      <c r="X33" s="11"/>
      <c r="Y33" s="11"/>
      <c r="Z33" s="11"/>
    </row>
    <row r="34" ht="12.75" customHeight="1">
      <c r="A34" s="13"/>
      <c r="B34" s="15"/>
      <c r="C34" s="11"/>
      <c r="D34" s="11"/>
      <c r="E34" s="11"/>
      <c r="F34" s="11"/>
      <c r="G34" s="11"/>
      <c r="H34" s="11"/>
      <c r="I34" s="11"/>
      <c r="J34" s="11"/>
      <c r="K34" s="11"/>
      <c r="L34" s="11"/>
      <c r="M34" s="11"/>
      <c r="N34" s="11"/>
      <c r="O34" s="11"/>
      <c r="P34" s="11"/>
      <c r="Q34" s="11"/>
      <c r="R34" s="11"/>
      <c r="S34" s="11"/>
      <c r="T34" s="11"/>
      <c r="U34" s="11"/>
      <c r="V34" s="11"/>
      <c r="W34" s="11"/>
      <c r="X34" s="11"/>
      <c r="Y34" s="11"/>
      <c r="Z34" s="11"/>
    </row>
    <row r="35" ht="12.75" customHeight="1">
      <c r="A35" s="13"/>
      <c r="B35" s="15"/>
      <c r="C35" s="11"/>
      <c r="D35" s="11"/>
      <c r="E35" s="11"/>
      <c r="F35" s="11"/>
      <c r="G35" s="11"/>
      <c r="H35" s="11"/>
      <c r="I35" s="11"/>
      <c r="J35" s="11"/>
      <c r="K35" s="11"/>
      <c r="L35" s="11"/>
      <c r="M35" s="11"/>
      <c r="N35" s="11"/>
      <c r="O35" s="11"/>
      <c r="P35" s="11"/>
      <c r="Q35" s="11"/>
      <c r="R35" s="11"/>
      <c r="S35" s="11"/>
      <c r="T35" s="11"/>
      <c r="U35" s="11"/>
      <c r="V35" s="11"/>
      <c r="W35" s="11"/>
      <c r="X35" s="11"/>
      <c r="Y35" s="11"/>
      <c r="Z35" s="11"/>
    </row>
    <row r="36" ht="12.75" customHeight="1">
      <c r="A36" s="13"/>
      <c r="B36" s="15"/>
      <c r="C36" s="11"/>
      <c r="D36" s="11"/>
      <c r="E36" s="11"/>
      <c r="F36" s="11"/>
      <c r="G36" s="11"/>
      <c r="H36" s="11"/>
      <c r="I36" s="11"/>
      <c r="J36" s="11"/>
      <c r="K36" s="11"/>
      <c r="L36" s="11"/>
      <c r="M36" s="11"/>
      <c r="N36" s="11"/>
      <c r="O36" s="11"/>
      <c r="P36" s="11"/>
      <c r="Q36" s="11"/>
      <c r="R36" s="11"/>
      <c r="S36" s="11"/>
      <c r="T36" s="11"/>
      <c r="U36" s="11"/>
      <c r="V36" s="11"/>
      <c r="W36" s="11"/>
      <c r="X36" s="11"/>
      <c r="Y36" s="11"/>
      <c r="Z36" s="11"/>
    </row>
    <row r="37" ht="12.75" customHeight="1">
      <c r="A37" s="13"/>
      <c r="B37" s="15"/>
      <c r="C37" s="11"/>
      <c r="D37" s="11"/>
      <c r="E37" s="11"/>
      <c r="F37" s="11"/>
      <c r="G37" s="11"/>
      <c r="H37" s="11"/>
      <c r="I37" s="11"/>
      <c r="J37" s="11"/>
      <c r="K37" s="11"/>
      <c r="L37" s="11"/>
      <c r="M37" s="11"/>
      <c r="N37" s="11"/>
      <c r="O37" s="11"/>
      <c r="P37" s="11"/>
      <c r="Q37" s="11"/>
      <c r="R37" s="11"/>
      <c r="S37" s="11"/>
      <c r="T37" s="11"/>
      <c r="U37" s="11"/>
      <c r="V37" s="11"/>
      <c r="W37" s="11"/>
      <c r="X37" s="11"/>
      <c r="Y37" s="11"/>
      <c r="Z37" s="11"/>
    </row>
    <row r="38" ht="12.75" customHeight="1">
      <c r="A38" s="13"/>
      <c r="B38" s="15"/>
      <c r="C38" s="11"/>
      <c r="D38" s="11"/>
      <c r="E38" s="11"/>
      <c r="F38" s="11"/>
      <c r="G38" s="11"/>
      <c r="H38" s="11"/>
      <c r="I38" s="11"/>
      <c r="J38" s="11"/>
      <c r="K38" s="11"/>
      <c r="L38" s="11"/>
      <c r="M38" s="11"/>
      <c r="N38" s="11"/>
      <c r="O38" s="11"/>
      <c r="P38" s="11"/>
      <c r="Q38" s="11"/>
      <c r="R38" s="11"/>
      <c r="S38" s="11"/>
      <c r="T38" s="11"/>
      <c r="U38" s="11"/>
      <c r="V38" s="11"/>
      <c r="W38" s="11"/>
      <c r="X38" s="11"/>
      <c r="Y38" s="11"/>
      <c r="Z38" s="11"/>
    </row>
    <row r="39" ht="12.75" customHeight="1">
      <c r="A39" s="13"/>
      <c r="B39" s="15"/>
      <c r="C39" s="11"/>
      <c r="D39" s="11"/>
      <c r="E39" s="11"/>
      <c r="F39" s="11"/>
      <c r="G39" s="11"/>
      <c r="H39" s="11"/>
      <c r="I39" s="11"/>
      <c r="J39" s="11"/>
      <c r="K39" s="11"/>
      <c r="L39" s="11"/>
      <c r="M39" s="11"/>
      <c r="N39" s="11"/>
      <c r="O39" s="11"/>
      <c r="P39" s="11"/>
      <c r="Q39" s="11"/>
      <c r="R39" s="11"/>
      <c r="S39" s="11"/>
      <c r="T39" s="11"/>
      <c r="U39" s="11"/>
      <c r="V39" s="11"/>
      <c r="W39" s="11"/>
      <c r="X39" s="11"/>
      <c r="Y39" s="11"/>
      <c r="Z39" s="11"/>
    </row>
    <row r="40" ht="12.75" customHeight="1">
      <c r="A40" s="13"/>
      <c r="B40" s="15"/>
      <c r="C40" s="11"/>
      <c r="D40" s="11"/>
      <c r="E40" s="11"/>
      <c r="F40" s="11"/>
      <c r="G40" s="11"/>
      <c r="H40" s="11"/>
      <c r="I40" s="11"/>
      <c r="J40" s="11"/>
      <c r="K40" s="11"/>
      <c r="L40" s="11"/>
      <c r="M40" s="11"/>
      <c r="N40" s="11"/>
      <c r="O40" s="11"/>
      <c r="P40" s="11"/>
      <c r="Q40" s="11"/>
      <c r="R40" s="11"/>
      <c r="S40" s="11"/>
      <c r="T40" s="11"/>
      <c r="U40" s="11"/>
      <c r="V40" s="11"/>
      <c r="W40" s="11"/>
      <c r="X40" s="11"/>
      <c r="Y40" s="11"/>
      <c r="Z40" s="11"/>
    </row>
    <row r="41" ht="12.75" customHeight="1">
      <c r="A41" s="13"/>
      <c r="B41" s="15"/>
      <c r="C41" s="11"/>
      <c r="D41" s="11"/>
      <c r="E41" s="11"/>
      <c r="F41" s="11"/>
      <c r="G41" s="11"/>
      <c r="H41" s="11"/>
      <c r="I41" s="11"/>
      <c r="J41" s="11"/>
      <c r="K41" s="11"/>
      <c r="L41" s="11"/>
      <c r="M41" s="11"/>
      <c r="N41" s="11"/>
      <c r="O41" s="11"/>
      <c r="P41" s="11"/>
      <c r="Q41" s="11"/>
      <c r="R41" s="11"/>
      <c r="S41" s="11"/>
      <c r="T41" s="11"/>
      <c r="U41" s="11"/>
      <c r="V41" s="11"/>
      <c r="W41" s="11"/>
      <c r="X41" s="11"/>
      <c r="Y41" s="11"/>
      <c r="Z41" s="11"/>
    </row>
    <row r="42" ht="12.75" customHeight="1">
      <c r="A42" s="13"/>
      <c r="B42" s="15"/>
      <c r="C42" s="11"/>
      <c r="D42" s="11"/>
      <c r="E42" s="11"/>
      <c r="F42" s="11"/>
      <c r="G42" s="11"/>
      <c r="H42" s="11"/>
      <c r="I42" s="11"/>
      <c r="J42" s="11"/>
      <c r="K42" s="11"/>
      <c r="L42" s="11"/>
      <c r="M42" s="11"/>
      <c r="N42" s="11"/>
      <c r="O42" s="11"/>
      <c r="P42" s="11"/>
      <c r="Q42" s="11"/>
      <c r="R42" s="11"/>
      <c r="S42" s="11"/>
      <c r="T42" s="11"/>
      <c r="U42" s="11"/>
      <c r="V42" s="11"/>
      <c r="W42" s="11"/>
      <c r="X42" s="11"/>
      <c r="Y42" s="11"/>
      <c r="Z42" s="11"/>
    </row>
    <row r="43" ht="12.75" customHeight="1">
      <c r="A43" s="13"/>
      <c r="B43" s="15"/>
      <c r="C43" s="11"/>
      <c r="D43" s="11"/>
      <c r="E43" s="11"/>
      <c r="F43" s="11"/>
      <c r="G43" s="11"/>
      <c r="H43" s="11"/>
      <c r="I43" s="11"/>
      <c r="J43" s="11"/>
      <c r="K43" s="11"/>
      <c r="L43" s="11"/>
      <c r="M43" s="11"/>
      <c r="N43" s="11"/>
      <c r="O43" s="11"/>
      <c r="P43" s="11"/>
      <c r="Q43" s="11"/>
      <c r="R43" s="11"/>
      <c r="S43" s="11"/>
      <c r="T43" s="11"/>
      <c r="U43" s="11"/>
      <c r="V43" s="11"/>
      <c r="W43" s="11"/>
      <c r="X43" s="11"/>
      <c r="Y43" s="11"/>
      <c r="Z43" s="11"/>
    </row>
    <row r="44" ht="12.75" customHeight="1">
      <c r="A44" s="13"/>
      <c r="B44" s="15"/>
      <c r="C44" s="11"/>
      <c r="D44" s="11"/>
      <c r="E44" s="11"/>
      <c r="F44" s="11"/>
      <c r="G44" s="11"/>
      <c r="H44" s="11"/>
      <c r="I44" s="11"/>
      <c r="J44" s="11"/>
      <c r="K44" s="11"/>
      <c r="L44" s="11"/>
      <c r="M44" s="11"/>
      <c r="N44" s="11"/>
      <c r="O44" s="11"/>
      <c r="P44" s="11"/>
      <c r="Q44" s="11"/>
      <c r="R44" s="11"/>
      <c r="S44" s="11"/>
      <c r="T44" s="11"/>
      <c r="U44" s="11"/>
      <c r="V44" s="11"/>
      <c r="W44" s="11"/>
      <c r="X44" s="11"/>
      <c r="Y44" s="11"/>
      <c r="Z44" s="11"/>
    </row>
    <row r="45" ht="12.75" customHeight="1">
      <c r="A45" s="13"/>
      <c r="B45" s="15"/>
      <c r="C45" s="11"/>
      <c r="D45" s="11"/>
      <c r="E45" s="11"/>
      <c r="F45" s="11"/>
      <c r="G45" s="11"/>
      <c r="H45" s="11"/>
      <c r="I45" s="11"/>
      <c r="J45" s="11"/>
      <c r="K45" s="11"/>
      <c r="L45" s="11"/>
      <c r="M45" s="11"/>
      <c r="N45" s="11"/>
      <c r="O45" s="11"/>
      <c r="P45" s="11"/>
      <c r="Q45" s="11"/>
      <c r="R45" s="11"/>
      <c r="S45" s="11"/>
      <c r="T45" s="11"/>
      <c r="U45" s="11"/>
      <c r="V45" s="11"/>
      <c r="W45" s="11"/>
      <c r="X45" s="11"/>
      <c r="Y45" s="11"/>
      <c r="Z45" s="11"/>
    </row>
    <row r="46" ht="12.75" customHeight="1">
      <c r="A46" s="13"/>
      <c r="B46" s="15"/>
      <c r="C46" s="11"/>
      <c r="D46" s="11"/>
      <c r="E46" s="11"/>
      <c r="F46" s="11"/>
      <c r="G46" s="11"/>
      <c r="H46" s="11"/>
      <c r="I46" s="11"/>
      <c r="J46" s="11"/>
      <c r="K46" s="11"/>
      <c r="L46" s="11"/>
      <c r="M46" s="11"/>
      <c r="N46" s="11"/>
      <c r="O46" s="11"/>
      <c r="P46" s="11"/>
      <c r="Q46" s="11"/>
      <c r="R46" s="11"/>
      <c r="S46" s="11"/>
      <c r="T46" s="11"/>
      <c r="U46" s="11"/>
      <c r="V46" s="11"/>
      <c r="W46" s="11"/>
      <c r="X46" s="11"/>
      <c r="Y46" s="11"/>
      <c r="Z46" s="11"/>
    </row>
    <row r="47" ht="12.75" customHeight="1">
      <c r="A47" s="13"/>
      <c r="B47" s="15"/>
      <c r="C47" s="11"/>
      <c r="D47" s="11"/>
      <c r="E47" s="11"/>
      <c r="F47" s="11"/>
      <c r="G47" s="11"/>
      <c r="H47" s="11"/>
      <c r="I47" s="11"/>
      <c r="J47" s="11"/>
      <c r="K47" s="11"/>
      <c r="L47" s="11"/>
      <c r="M47" s="11"/>
      <c r="N47" s="11"/>
      <c r="O47" s="11"/>
      <c r="P47" s="11"/>
      <c r="Q47" s="11"/>
      <c r="R47" s="11"/>
      <c r="S47" s="11"/>
      <c r="T47" s="11"/>
      <c r="U47" s="11"/>
      <c r="V47" s="11"/>
      <c r="W47" s="11"/>
      <c r="X47" s="11"/>
      <c r="Y47" s="11"/>
      <c r="Z47" s="11"/>
    </row>
    <row r="48" ht="12.75" customHeight="1">
      <c r="A48" s="13"/>
      <c r="B48" s="15"/>
      <c r="C48" s="11"/>
      <c r="D48" s="11"/>
      <c r="E48" s="11"/>
      <c r="F48" s="11"/>
      <c r="G48" s="11"/>
      <c r="H48" s="11"/>
      <c r="I48" s="11"/>
      <c r="J48" s="11"/>
      <c r="K48" s="11"/>
      <c r="L48" s="11"/>
      <c r="M48" s="11"/>
      <c r="N48" s="11"/>
      <c r="O48" s="11"/>
      <c r="P48" s="11"/>
      <c r="Q48" s="11"/>
      <c r="R48" s="11"/>
      <c r="S48" s="11"/>
      <c r="T48" s="11"/>
      <c r="U48" s="11"/>
      <c r="V48" s="11"/>
      <c r="W48" s="11"/>
      <c r="X48" s="11"/>
      <c r="Y48" s="11"/>
      <c r="Z48" s="11"/>
    </row>
    <row r="49" ht="12.75" customHeight="1">
      <c r="A49" s="13"/>
      <c r="B49" s="15"/>
      <c r="C49" s="11"/>
      <c r="D49" s="11"/>
      <c r="E49" s="11"/>
      <c r="F49" s="11"/>
      <c r="G49" s="11"/>
      <c r="H49" s="11"/>
      <c r="I49" s="11"/>
      <c r="J49" s="11"/>
      <c r="K49" s="11"/>
      <c r="L49" s="11"/>
      <c r="M49" s="11"/>
      <c r="N49" s="11"/>
      <c r="O49" s="11"/>
      <c r="P49" s="11"/>
      <c r="Q49" s="11"/>
      <c r="R49" s="11"/>
      <c r="S49" s="11"/>
      <c r="T49" s="11"/>
      <c r="U49" s="11"/>
      <c r="V49" s="11"/>
      <c r="W49" s="11"/>
      <c r="X49" s="11"/>
      <c r="Y49" s="11"/>
      <c r="Z49" s="11"/>
    </row>
    <row r="50" ht="12.75" customHeight="1">
      <c r="A50" s="13"/>
      <c r="B50" s="15"/>
      <c r="C50" s="11"/>
      <c r="D50" s="11"/>
      <c r="E50" s="11"/>
      <c r="F50" s="11"/>
      <c r="G50" s="11"/>
      <c r="H50" s="11"/>
      <c r="I50" s="11"/>
      <c r="J50" s="11"/>
      <c r="K50" s="11"/>
      <c r="L50" s="11"/>
      <c r="M50" s="11"/>
      <c r="N50" s="11"/>
      <c r="O50" s="11"/>
      <c r="P50" s="11"/>
      <c r="Q50" s="11"/>
      <c r="R50" s="11"/>
      <c r="S50" s="11"/>
      <c r="T50" s="11"/>
      <c r="U50" s="11"/>
      <c r="V50" s="11"/>
      <c r="W50" s="11"/>
      <c r="X50" s="11"/>
      <c r="Y50" s="11"/>
      <c r="Z50" s="11"/>
    </row>
    <row r="51" ht="12.75" customHeight="1">
      <c r="A51" s="13"/>
      <c r="B51" s="15"/>
      <c r="C51" s="11"/>
      <c r="D51" s="11"/>
      <c r="E51" s="11"/>
      <c r="F51" s="11"/>
      <c r="G51" s="11"/>
      <c r="H51" s="11"/>
      <c r="I51" s="11"/>
      <c r="J51" s="11"/>
      <c r="K51" s="11"/>
      <c r="L51" s="11"/>
      <c r="M51" s="11"/>
      <c r="N51" s="11"/>
      <c r="O51" s="11"/>
      <c r="P51" s="11"/>
      <c r="Q51" s="11"/>
      <c r="R51" s="11"/>
      <c r="S51" s="11"/>
      <c r="T51" s="11"/>
      <c r="U51" s="11"/>
      <c r="V51" s="11"/>
      <c r="W51" s="11"/>
      <c r="X51" s="11"/>
      <c r="Y51" s="11"/>
      <c r="Z51" s="11"/>
    </row>
    <row r="52" ht="12.75" customHeight="1">
      <c r="A52" s="13"/>
      <c r="B52" s="15"/>
      <c r="C52" s="11"/>
      <c r="D52" s="11"/>
      <c r="E52" s="11"/>
      <c r="F52" s="11"/>
      <c r="G52" s="11"/>
      <c r="H52" s="11"/>
      <c r="I52" s="11"/>
      <c r="J52" s="11"/>
      <c r="K52" s="11"/>
      <c r="L52" s="11"/>
      <c r="M52" s="11"/>
      <c r="N52" s="11"/>
      <c r="O52" s="11"/>
      <c r="P52" s="11"/>
      <c r="Q52" s="11"/>
      <c r="R52" s="11"/>
      <c r="S52" s="11"/>
      <c r="T52" s="11"/>
      <c r="U52" s="11"/>
      <c r="V52" s="11"/>
      <c r="W52" s="11"/>
      <c r="X52" s="11"/>
      <c r="Y52" s="11"/>
      <c r="Z52" s="11"/>
    </row>
    <row r="53" ht="12.75" customHeight="1">
      <c r="A53" s="13"/>
      <c r="B53" s="15"/>
      <c r="C53" s="11"/>
      <c r="D53" s="11"/>
      <c r="E53" s="11"/>
      <c r="F53" s="11"/>
      <c r="G53" s="11"/>
      <c r="H53" s="11"/>
      <c r="I53" s="11"/>
      <c r="J53" s="11"/>
      <c r="K53" s="11"/>
      <c r="L53" s="11"/>
      <c r="M53" s="11"/>
      <c r="N53" s="11"/>
      <c r="O53" s="11"/>
      <c r="P53" s="11"/>
      <c r="Q53" s="11"/>
      <c r="R53" s="11"/>
      <c r="S53" s="11"/>
      <c r="T53" s="11"/>
      <c r="U53" s="11"/>
      <c r="V53" s="11"/>
      <c r="W53" s="11"/>
      <c r="X53" s="11"/>
      <c r="Y53" s="11"/>
      <c r="Z53" s="11"/>
    </row>
    <row r="54" ht="12.75" customHeight="1">
      <c r="A54" s="33"/>
      <c r="B54" s="34"/>
      <c r="C54" s="11"/>
      <c r="D54" s="11"/>
      <c r="E54" s="11"/>
      <c r="F54" s="11"/>
      <c r="G54" s="11"/>
      <c r="H54" s="11"/>
      <c r="I54" s="11"/>
      <c r="J54" s="11"/>
      <c r="K54" s="11"/>
      <c r="L54" s="11"/>
      <c r="M54" s="11"/>
      <c r="N54" s="11"/>
      <c r="O54" s="11"/>
      <c r="P54" s="11"/>
      <c r="Q54" s="11"/>
      <c r="R54" s="11"/>
      <c r="S54" s="11"/>
      <c r="T54" s="11"/>
      <c r="U54" s="11"/>
      <c r="V54" s="11"/>
      <c r="W54" s="11"/>
      <c r="X54" s="11"/>
      <c r="Y54" s="11"/>
      <c r="Z54" s="11"/>
    </row>
    <row r="55" ht="36.0" customHeight="1">
      <c r="A55" s="37" t="s">
        <v>48</v>
      </c>
      <c r="B55" s="3"/>
      <c r="C55" s="11"/>
      <c r="D55" s="11"/>
      <c r="E55" s="11"/>
      <c r="F55" s="11"/>
      <c r="G55" s="11"/>
      <c r="H55" s="11"/>
      <c r="I55" s="11"/>
      <c r="J55" s="11"/>
      <c r="K55" s="11"/>
      <c r="L55" s="11"/>
      <c r="M55" s="11"/>
      <c r="N55" s="11"/>
      <c r="O55" s="11"/>
      <c r="P55" s="11"/>
      <c r="Q55" s="11"/>
      <c r="R55" s="11"/>
      <c r="S55" s="11"/>
      <c r="T55" s="11"/>
      <c r="U55" s="11"/>
      <c r="V55" s="11"/>
      <c r="W55" s="11"/>
      <c r="X55" s="11"/>
      <c r="Y55" s="11"/>
      <c r="Z55" s="11"/>
    </row>
    <row r="56" ht="12.7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ht="12.7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ht="12.7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ht="12.7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ht="12.7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ht="12.7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ht="12.7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ht="12.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ht="12.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ht="12.7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ht="12.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ht="12.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ht="12.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ht="12.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ht="12.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ht="12.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ht="12.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ht="12.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ht="12.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ht="12.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ht="12.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ht="12.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ht="12.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ht="12.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ht="12.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ht="12.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ht="12.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ht="12.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ht="12.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ht="12.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ht="12.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ht="12.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ht="12.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ht="12.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ht="12.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ht="12.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ht="12.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ht="12.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ht="12.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ht="12.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ht="12.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ht="12.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ht="12.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ht="12.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ht="12.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ht="12.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ht="12.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ht="12.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ht="12.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ht="12.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ht="12.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ht="12.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ht="12.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ht="12.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ht="12.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ht="12.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ht="12.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ht="12.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ht="12.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ht="12.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ht="12.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ht="12.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ht="12.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ht="12.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ht="12.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ht="12.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ht="12.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ht="12.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ht="12.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ht="12.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ht="12.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ht="12.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ht="12.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ht="12.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ht="12.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ht="12.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ht="12.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ht="12.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ht="12.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ht="12.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ht="12.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ht="12.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ht="12.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ht="12.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ht="12.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ht="12.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ht="12.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ht="12.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ht="12.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ht="12.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ht="12.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ht="12.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ht="12.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ht="12.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ht="12.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ht="12.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ht="12.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ht="12.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ht="12.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ht="12.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ht="12.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ht="12.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ht="12.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ht="12.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ht="12.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ht="12.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ht="12.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ht="12.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ht="12.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ht="12.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ht="12.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ht="12.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ht="12.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ht="12.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ht="12.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ht="12.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ht="12.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ht="12.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ht="12.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ht="12.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ht="12.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ht="12.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ht="12.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ht="12.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ht="12.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ht="12.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ht="12.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ht="12.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ht="12.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ht="12.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ht="12.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ht="12.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ht="12.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ht="12.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ht="12.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ht="12.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ht="12.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ht="12.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ht="12.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ht="12.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ht="12.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ht="12.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ht="12.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ht="12.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ht="12.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ht="12.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ht="12.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ht="12.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ht="12.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ht="12.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ht="12.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ht="12.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ht="12.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ht="12.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ht="12.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ht="12.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ht="12.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ht="12.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ht="12.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ht="12.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ht="12.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ht="12.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ht="12.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ht="12.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ht="12.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ht="12.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ht="12.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ht="12.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ht="12.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ht="12.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ht="12.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ht="12.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ht="12.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ht="12.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ht="12.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ht="12.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ht="12.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ht="12.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ht="12.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ht="12.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ht="12.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ht="12.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ht="12.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ht="12.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ht="12.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ht="12.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ht="12.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ht="12.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ht="12.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ht="12.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ht="12.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ht="12.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ht="12.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ht="12.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ht="12.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ht="12.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ht="12.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ht="12.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ht="12.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ht="12.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ht="12.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ht="12.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ht="12.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ht="12.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ht="12.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ht="12.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ht="12.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ht="12.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ht="12.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ht="12.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ht="12.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ht="12.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ht="12.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ht="12.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ht="12.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ht="12.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ht="12.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ht="12.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ht="12.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ht="12.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ht="12.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ht="12.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ht="12.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ht="12.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ht="12.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ht="12.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ht="12.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ht="12.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ht="12.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ht="12.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ht="12.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ht="12.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ht="12.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ht="12.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ht="12.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ht="12.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ht="12.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ht="12.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ht="12.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ht="12.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ht="12.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ht="12.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ht="12.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ht="12.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ht="12.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ht="12.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ht="12.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ht="12.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ht="12.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ht="12.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ht="12.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ht="12.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ht="12.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ht="12.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ht="12.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ht="12.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ht="12.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ht="12.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ht="12.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ht="12.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ht="12.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ht="12.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ht="12.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ht="12.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ht="12.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ht="12.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ht="12.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ht="12.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ht="12.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ht="12.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ht="12.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ht="12.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ht="12.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ht="12.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ht="12.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ht="12.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ht="12.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ht="12.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ht="12.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ht="12.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ht="12.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ht="12.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ht="12.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ht="12.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ht="12.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ht="12.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ht="12.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ht="12.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ht="12.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ht="12.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ht="12.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ht="12.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ht="12.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ht="12.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ht="12.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ht="12.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ht="12.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ht="12.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ht="12.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ht="12.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ht="12.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ht="12.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ht="12.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ht="12.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ht="12.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ht="12.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ht="12.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ht="12.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ht="12.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ht="12.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ht="12.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ht="12.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ht="12.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ht="12.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ht="12.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ht="12.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ht="12.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ht="12.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ht="12.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ht="12.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ht="12.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ht="12.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ht="12.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ht="12.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ht="12.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ht="12.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ht="12.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ht="12.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ht="12.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ht="12.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ht="12.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ht="12.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ht="12.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ht="12.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ht="12.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ht="12.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ht="12.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ht="12.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ht="12.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ht="12.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ht="12.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ht="12.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ht="12.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ht="12.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ht="12.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ht="12.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ht="12.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ht="12.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ht="12.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ht="12.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ht="12.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ht="12.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ht="12.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ht="12.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ht="12.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ht="12.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ht="12.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ht="12.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ht="12.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ht="12.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ht="12.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ht="12.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ht="12.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ht="12.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ht="12.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ht="12.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ht="12.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ht="12.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ht="12.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ht="12.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ht="12.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ht="12.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ht="12.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ht="12.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ht="12.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ht="12.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ht="12.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ht="12.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ht="12.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ht="12.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ht="12.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ht="12.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ht="12.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ht="12.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ht="12.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ht="12.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ht="12.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ht="12.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ht="12.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ht="12.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ht="12.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ht="12.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ht="12.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ht="12.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ht="12.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ht="12.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ht="12.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ht="12.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ht="12.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ht="12.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ht="12.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ht="12.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ht="12.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ht="12.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ht="12.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ht="12.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ht="12.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ht="12.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ht="12.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ht="12.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ht="12.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ht="12.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ht="12.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ht="12.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ht="12.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ht="12.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ht="12.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ht="12.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ht="12.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ht="12.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ht="12.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ht="12.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ht="12.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ht="12.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ht="12.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ht="12.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ht="12.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ht="12.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ht="12.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ht="12.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ht="12.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ht="12.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ht="12.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ht="12.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ht="12.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ht="12.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ht="12.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ht="12.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ht="12.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ht="12.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ht="12.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ht="12.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ht="12.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ht="12.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ht="12.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ht="12.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ht="12.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ht="12.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ht="12.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ht="12.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ht="12.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ht="12.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ht="12.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ht="12.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ht="12.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ht="12.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ht="12.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ht="12.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ht="12.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ht="12.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ht="12.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ht="12.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ht="12.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ht="12.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ht="12.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ht="12.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ht="12.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ht="12.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ht="12.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ht="12.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ht="12.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ht="12.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ht="12.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ht="12.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ht="12.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ht="12.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ht="12.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ht="12.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ht="12.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ht="12.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ht="12.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ht="12.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ht="12.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ht="12.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ht="12.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ht="12.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ht="12.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ht="12.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ht="12.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ht="12.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ht="12.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ht="12.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ht="12.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ht="12.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ht="12.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ht="12.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ht="12.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ht="12.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ht="12.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ht="12.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ht="12.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ht="12.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ht="12.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ht="12.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ht="12.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ht="12.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ht="12.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ht="12.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ht="12.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ht="12.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ht="12.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ht="12.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ht="12.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ht="12.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ht="12.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ht="12.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ht="12.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ht="12.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ht="12.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ht="12.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ht="12.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ht="12.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ht="12.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ht="12.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ht="12.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ht="12.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ht="12.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ht="12.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ht="12.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ht="12.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ht="12.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ht="12.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ht="12.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ht="12.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ht="12.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ht="12.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ht="12.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ht="12.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ht="12.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ht="12.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ht="12.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ht="12.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ht="12.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ht="12.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ht="12.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ht="12.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ht="12.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ht="12.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ht="12.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ht="12.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ht="12.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ht="12.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ht="12.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ht="12.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ht="12.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ht="12.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ht="12.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ht="12.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ht="12.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ht="12.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ht="12.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ht="12.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ht="12.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ht="12.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ht="12.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ht="12.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ht="12.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ht="12.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ht="12.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ht="12.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ht="12.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ht="12.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ht="12.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ht="12.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ht="12.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ht="12.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ht="12.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ht="12.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ht="12.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ht="12.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ht="12.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ht="12.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ht="12.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ht="12.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ht="12.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ht="12.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ht="12.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ht="12.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ht="12.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ht="12.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ht="12.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ht="12.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ht="12.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ht="12.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ht="12.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ht="12.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ht="12.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ht="12.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ht="12.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ht="12.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ht="12.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ht="12.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ht="12.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ht="12.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ht="12.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ht="12.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ht="12.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ht="12.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ht="12.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ht="12.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ht="12.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ht="12.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ht="12.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ht="12.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ht="12.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ht="12.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ht="12.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ht="12.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ht="12.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ht="12.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ht="12.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ht="12.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ht="12.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ht="12.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ht="12.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ht="12.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ht="12.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ht="12.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ht="12.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ht="12.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ht="12.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ht="12.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ht="12.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ht="12.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ht="12.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ht="12.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ht="12.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ht="12.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ht="12.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ht="12.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ht="12.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ht="12.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ht="12.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ht="12.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ht="12.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ht="12.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ht="12.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ht="12.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ht="12.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ht="12.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ht="12.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ht="12.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ht="12.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ht="12.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ht="12.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ht="12.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ht="12.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ht="12.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ht="12.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ht="12.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ht="12.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ht="12.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ht="12.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ht="12.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ht="12.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ht="12.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ht="12.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ht="12.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ht="12.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ht="12.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ht="12.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ht="12.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ht="12.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ht="12.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ht="12.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ht="12.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ht="12.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ht="12.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ht="12.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ht="12.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ht="12.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ht="12.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ht="12.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ht="12.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ht="12.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ht="12.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ht="12.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ht="12.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ht="12.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ht="12.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ht="12.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ht="12.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ht="12.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ht="12.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ht="12.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ht="12.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ht="12.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ht="12.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ht="12.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ht="12.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ht="12.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ht="12.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ht="12.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ht="12.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ht="12.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ht="12.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ht="12.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ht="12.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ht="12.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ht="12.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ht="12.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ht="12.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ht="12.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ht="12.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ht="12.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ht="12.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ht="12.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ht="12.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ht="12.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ht="12.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ht="12.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ht="12.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ht="12.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ht="12.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ht="12.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ht="12.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ht="12.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ht="12.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ht="12.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ht="12.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ht="12.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ht="12.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ht="12.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ht="12.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ht="12.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ht="12.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ht="12.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ht="12.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ht="12.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ht="12.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ht="12.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ht="12.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ht="12.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ht="12.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ht="12.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ht="12.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ht="12.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ht="12.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ht="12.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ht="12.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ht="12.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ht="12.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ht="12.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ht="12.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ht="12.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ht="12.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ht="12.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ht="12.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ht="12.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ht="12.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ht="12.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ht="12.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ht="12.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ht="12.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ht="12.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ht="12.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ht="12.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ht="12.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ht="12.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ht="12.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ht="12.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ht="12.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ht="12.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ht="12.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ht="12.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ht="12.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ht="12.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ht="12.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ht="12.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ht="12.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ht="12.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ht="12.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ht="12.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ht="12.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ht="12.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ht="12.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ht="12.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ht="12.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ht="12.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ht="12.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ht="12.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ht="12.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ht="12.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ht="12.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ht="12.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ht="12.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ht="12.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ht="12.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ht="12.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ht="12.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ht="12.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ht="12.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ht="12.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ht="12.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ht="12.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ht="12.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ht="12.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ht="12.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ht="12.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ht="12.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ht="12.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ht="12.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ht="12.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ht="12.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ht="12.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ht="12.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ht="12.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ht="12.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ht="12.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ht="12.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ht="12.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ht="12.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ht="12.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ht="12.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ht="12.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ht="12.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ht="12.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ht="12.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ht="12.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ht="12.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ht="12.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ht="12.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ht="12.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ht="12.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ht="12.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ht="12.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ht="12.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ht="12.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ht="12.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ht="12.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ht="12.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ht="12.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ht="12.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ht="12.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ht="12.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ht="12.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ht="12.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ht="12.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ht="12.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ht="12.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ht="12.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ht="12.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ht="12.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ht="12.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ht="12.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ht="12.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ht="12.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ht="12.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ht="12.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ht="12.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ht="12.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ht="12.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ht="12.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ht="12.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ht="12.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ht="12.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ht="12.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ht="12.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ht="12.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ht="12.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ht="12.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ht="12.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ht="12.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ht="12.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ht="12.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ht="12.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ht="12.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ht="12.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ht="12.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ht="12.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ht="12.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ht="12.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ht="12.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ht="12.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ht="12.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ht="12.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ht="12.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ht="12.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ht="12.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ht="12.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ht="12.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ht="12.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ht="12.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ht="12.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ht="12.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ht="12.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ht="12.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ht="12.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ht="12.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ht="12.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ht="12.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ht="12.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ht="12.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ht="12.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ht="12.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ht="12.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ht="12.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ht="12.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ht="12.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ht="12.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ht="12.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ht="12.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ht="12.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ht="12.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ht="12.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ht="12.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ht="12.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ht="12.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ht="12.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ht="12.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ht="12.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ht="12.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ht="12.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ht="12.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ht="12.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ht="12.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ht="12.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ht="12.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ht="12.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ht="12.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ht="12.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ht="12.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ht="12.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ht="12.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ht="12.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ht="12.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ht="12.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ht="12.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ht="12.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ht="12.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ht="12.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ht="12.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ht="12.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ht="12.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ht="12.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2">
    <mergeCell ref="A1:B1"/>
    <mergeCell ref="A55:B55"/>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8.33"/>
    <col customWidth="1" min="2" max="2" width="76.67"/>
    <col customWidth="1" min="3" max="26" width="10.67"/>
  </cols>
  <sheetData>
    <row r="1" ht="36.0" customHeight="1">
      <c r="A1" s="6" t="s">
        <v>2</v>
      </c>
      <c r="B1" s="3"/>
    </row>
    <row r="2" ht="25.5" customHeight="1">
      <c r="A2" s="8"/>
      <c r="B2" s="3"/>
      <c r="C2" s="10"/>
      <c r="D2" s="10"/>
      <c r="E2" s="10"/>
      <c r="F2" s="9"/>
      <c r="G2" s="9"/>
      <c r="H2" s="9"/>
      <c r="I2" s="9"/>
      <c r="J2" s="9"/>
      <c r="K2" s="9"/>
      <c r="L2" s="9"/>
      <c r="M2" s="9"/>
      <c r="N2" s="9"/>
      <c r="O2" s="9"/>
      <c r="P2" s="9"/>
      <c r="Q2" s="9"/>
      <c r="R2" s="9"/>
      <c r="S2" s="9"/>
      <c r="T2" s="9"/>
      <c r="U2" s="9"/>
      <c r="V2" s="9"/>
    </row>
    <row r="3" ht="24.0" customHeight="1">
      <c r="A3" s="17" t="s">
        <v>4</v>
      </c>
      <c r="B3" s="3"/>
      <c r="C3" s="19"/>
      <c r="D3" s="19"/>
      <c r="E3" s="19"/>
      <c r="F3" s="19"/>
      <c r="G3" s="19"/>
      <c r="H3" s="19"/>
      <c r="I3" s="19"/>
      <c r="J3" s="19"/>
      <c r="K3" s="19"/>
      <c r="L3" s="19"/>
      <c r="M3" s="19"/>
      <c r="N3" s="19"/>
      <c r="O3" s="19"/>
      <c r="P3" s="19"/>
      <c r="Q3" s="19"/>
      <c r="R3" s="19"/>
      <c r="S3" s="19"/>
      <c r="T3" s="19"/>
      <c r="U3" s="19"/>
      <c r="V3" s="19"/>
      <c r="W3" s="19"/>
      <c r="X3" s="19"/>
      <c r="Y3" s="19"/>
      <c r="Z3" s="19"/>
    </row>
    <row r="4" ht="72.0" customHeight="1">
      <c r="A4" s="22" t="s">
        <v>9</v>
      </c>
      <c r="B4" s="3"/>
    </row>
    <row r="5" ht="24.0" customHeight="1">
      <c r="A5" s="17" t="s">
        <v>10</v>
      </c>
      <c r="B5" s="3"/>
      <c r="C5" s="19"/>
      <c r="D5" s="19"/>
      <c r="E5" s="19"/>
      <c r="F5" s="19"/>
      <c r="G5" s="19"/>
      <c r="H5" s="19"/>
      <c r="I5" s="19"/>
      <c r="J5" s="19"/>
      <c r="K5" s="19"/>
      <c r="L5" s="19"/>
      <c r="M5" s="19"/>
      <c r="N5" s="19"/>
      <c r="O5" s="19"/>
      <c r="P5" s="19"/>
      <c r="Q5" s="19"/>
      <c r="R5" s="19"/>
      <c r="S5" s="19"/>
      <c r="T5" s="19"/>
      <c r="U5" s="19"/>
      <c r="V5" s="19"/>
      <c r="W5" s="19"/>
      <c r="X5" s="19"/>
      <c r="Y5" s="19"/>
      <c r="Z5" s="19"/>
    </row>
    <row r="6" ht="84.0" customHeight="1">
      <c r="A6" s="22" t="s">
        <v>11</v>
      </c>
      <c r="B6" s="3"/>
    </row>
    <row r="7" ht="54.75" customHeight="1">
      <c r="A7" s="25" t="s">
        <v>8</v>
      </c>
      <c r="B7" s="12" t="s">
        <v>14</v>
      </c>
    </row>
    <row r="8" ht="54.0" customHeight="1">
      <c r="A8" s="25" t="s">
        <v>15</v>
      </c>
      <c r="B8" s="12" t="s">
        <v>16</v>
      </c>
    </row>
    <row r="9" ht="36.0" customHeight="1">
      <c r="A9" s="25" t="s">
        <v>17</v>
      </c>
      <c r="B9" s="12" t="s">
        <v>18</v>
      </c>
    </row>
    <row r="10" ht="36.0" customHeight="1">
      <c r="A10" s="25" t="s">
        <v>19</v>
      </c>
      <c r="B10" s="12" t="s">
        <v>20</v>
      </c>
    </row>
    <row r="11" ht="36.0" customHeight="1">
      <c r="A11" s="25" t="s">
        <v>21</v>
      </c>
      <c r="B11" s="12" t="s">
        <v>22</v>
      </c>
    </row>
    <row r="12" ht="96.0" customHeight="1">
      <c r="A12" s="22" t="s">
        <v>24</v>
      </c>
      <c r="B12" s="3"/>
    </row>
    <row r="13" ht="123.75" customHeight="1">
      <c r="A13" s="29" t="s">
        <v>26</v>
      </c>
      <c r="B13" s="3"/>
    </row>
    <row r="14" ht="24.0" customHeight="1">
      <c r="A14" s="17" t="s">
        <v>28</v>
      </c>
      <c r="B14" s="3"/>
      <c r="C14" s="19"/>
      <c r="D14" s="19"/>
      <c r="E14" s="19"/>
      <c r="F14" s="19"/>
      <c r="G14" s="19"/>
      <c r="H14" s="19"/>
      <c r="I14" s="19"/>
      <c r="J14" s="19"/>
      <c r="K14" s="19"/>
      <c r="L14" s="19"/>
      <c r="M14" s="19"/>
      <c r="N14" s="19"/>
      <c r="O14" s="19"/>
      <c r="P14" s="19"/>
      <c r="Q14" s="19"/>
      <c r="R14" s="19"/>
      <c r="S14" s="19"/>
      <c r="T14" s="19"/>
      <c r="U14" s="19"/>
      <c r="V14" s="19"/>
      <c r="W14" s="19"/>
      <c r="X14" s="19"/>
      <c r="Y14" s="19"/>
      <c r="Z14" s="19"/>
    </row>
    <row r="15" ht="55.5" customHeight="1">
      <c r="A15" s="22" t="s">
        <v>29</v>
      </c>
      <c r="B15" s="3"/>
    </row>
    <row r="16" ht="111.75" customHeight="1">
      <c r="A16" s="29" t="s">
        <v>33</v>
      </c>
      <c r="B16" s="3"/>
    </row>
    <row r="17" ht="24.0" customHeight="1">
      <c r="A17" s="17" t="s">
        <v>34</v>
      </c>
      <c r="B17" s="3"/>
      <c r="C17" s="19"/>
      <c r="D17" s="19"/>
      <c r="E17" s="19"/>
      <c r="F17" s="19"/>
      <c r="G17" s="19"/>
      <c r="H17" s="19"/>
      <c r="I17" s="19"/>
      <c r="J17" s="19"/>
      <c r="K17" s="19"/>
      <c r="L17" s="19"/>
      <c r="M17" s="19"/>
      <c r="N17" s="19"/>
      <c r="O17" s="19"/>
      <c r="P17" s="19"/>
      <c r="Q17" s="19"/>
      <c r="R17" s="19"/>
      <c r="S17" s="19"/>
      <c r="T17" s="19"/>
      <c r="U17" s="19"/>
      <c r="V17" s="19"/>
      <c r="W17" s="19"/>
      <c r="X17" s="19"/>
      <c r="Y17" s="19"/>
      <c r="Z17" s="19"/>
    </row>
    <row r="18" ht="36.0" customHeight="1">
      <c r="A18" s="31" t="s">
        <v>38</v>
      </c>
      <c r="B18" s="12" t="s">
        <v>42</v>
      </c>
      <c r="C18" s="32"/>
      <c r="D18" s="32"/>
      <c r="E18" s="32"/>
      <c r="F18" s="32"/>
      <c r="G18" s="32"/>
      <c r="H18" s="32"/>
      <c r="I18" s="32"/>
      <c r="J18" s="32"/>
      <c r="K18" s="32"/>
      <c r="L18" s="32"/>
      <c r="M18" s="32"/>
      <c r="N18" s="32"/>
      <c r="O18" s="32"/>
      <c r="P18" s="32"/>
      <c r="Q18" s="32"/>
      <c r="R18" s="32"/>
      <c r="S18" s="32"/>
      <c r="T18" s="32"/>
      <c r="U18" s="32"/>
      <c r="V18" s="32"/>
      <c r="W18" s="32"/>
      <c r="X18" s="32"/>
      <c r="Y18" s="32"/>
      <c r="Z18" s="32"/>
    </row>
    <row r="19" ht="36.0" customHeight="1">
      <c r="A19" s="31" t="s">
        <v>43</v>
      </c>
      <c r="B19" s="12" t="s">
        <v>44</v>
      </c>
      <c r="C19" s="32"/>
      <c r="D19" s="32"/>
      <c r="E19" s="32"/>
      <c r="F19" s="32"/>
      <c r="G19" s="32"/>
      <c r="H19" s="32"/>
      <c r="I19" s="32"/>
      <c r="J19" s="32"/>
      <c r="K19" s="32"/>
      <c r="L19" s="32"/>
      <c r="M19" s="32"/>
      <c r="N19" s="32"/>
      <c r="O19" s="32"/>
      <c r="P19" s="32"/>
      <c r="Q19" s="32"/>
      <c r="R19" s="32"/>
      <c r="S19" s="32"/>
      <c r="T19" s="32"/>
      <c r="U19" s="32"/>
      <c r="V19" s="32"/>
      <c r="W19" s="32"/>
      <c r="X19" s="32"/>
      <c r="Y19" s="32"/>
      <c r="Z19" s="32"/>
    </row>
    <row r="20" ht="36.0" customHeight="1">
      <c r="A20" s="31" t="s">
        <v>45</v>
      </c>
      <c r="B20" s="12" t="s">
        <v>46</v>
      </c>
      <c r="C20" s="32"/>
      <c r="D20" s="32"/>
      <c r="E20" s="32"/>
      <c r="F20" s="32"/>
      <c r="G20" s="32"/>
      <c r="H20" s="32"/>
      <c r="I20" s="32"/>
      <c r="J20" s="32"/>
      <c r="K20" s="32"/>
      <c r="L20" s="32"/>
      <c r="M20" s="32"/>
      <c r="N20" s="32"/>
      <c r="O20" s="32"/>
      <c r="P20" s="32"/>
      <c r="Q20" s="32"/>
      <c r="R20" s="32"/>
      <c r="S20" s="32"/>
      <c r="T20" s="32"/>
      <c r="U20" s="32"/>
      <c r="V20" s="32"/>
      <c r="W20" s="32"/>
      <c r="X20" s="32"/>
      <c r="Y20" s="32"/>
      <c r="Z20" s="32"/>
    </row>
    <row r="21" ht="85.5" customHeight="1">
      <c r="A21" s="22" t="s">
        <v>47</v>
      </c>
      <c r="B21" s="3"/>
      <c r="C21" s="32"/>
      <c r="D21" s="32"/>
      <c r="E21" s="32"/>
      <c r="F21" s="32"/>
      <c r="G21" s="32"/>
      <c r="H21" s="32"/>
      <c r="I21" s="32"/>
      <c r="J21" s="32"/>
      <c r="K21" s="32"/>
      <c r="L21" s="32"/>
      <c r="M21" s="32"/>
      <c r="N21" s="32"/>
      <c r="O21" s="32"/>
      <c r="P21" s="32"/>
      <c r="Q21" s="32"/>
      <c r="R21" s="32"/>
      <c r="S21" s="32"/>
      <c r="T21" s="32"/>
      <c r="U21" s="32"/>
      <c r="V21" s="32"/>
      <c r="W21" s="32"/>
      <c r="X21" s="32"/>
      <c r="Y21" s="32"/>
      <c r="Z21" s="32"/>
    </row>
    <row r="22" ht="123.75" customHeight="1">
      <c r="A22" s="28"/>
      <c r="B22" s="36" t="s">
        <v>49</v>
      </c>
      <c r="C22" s="32"/>
      <c r="D22" s="32"/>
      <c r="E22" s="32"/>
      <c r="F22" s="32"/>
      <c r="G22" s="32"/>
      <c r="H22" s="32"/>
      <c r="I22" s="32"/>
      <c r="J22" s="32"/>
      <c r="K22" s="32"/>
      <c r="L22" s="32"/>
      <c r="M22" s="32"/>
      <c r="N22" s="32"/>
      <c r="O22" s="32"/>
      <c r="P22" s="32"/>
      <c r="Q22" s="32"/>
      <c r="R22" s="32"/>
      <c r="S22" s="32"/>
      <c r="T22" s="32"/>
      <c r="U22" s="32"/>
      <c r="V22" s="32"/>
      <c r="W22" s="32"/>
      <c r="X22" s="32"/>
      <c r="Y22" s="32"/>
      <c r="Z22" s="32"/>
    </row>
    <row r="23" ht="24.0" customHeight="1">
      <c r="A23" s="17" t="s">
        <v>56</v>
      </c>
      <c r="B23" s="3"/>
      <c r="C23" s="19"/>
      <c r="D23" s="19"/>
      <c r="E23" s="19"/>
      <c r="F23" s="19"/>
      <c r="G23" s="19"/>
      <c r="H23" s="19"/>
      <c r="I23" s="19"/>
      <c r="J23" s="19"/>
      <c r="K23" s="19"/>
      <c r="L23" s="19"/>
      <c r="M23" s="19"/>
      <c r="N23" s="19"/>
      <c r="O23" s="19"/>
      <c r="P23" s="19"/>
      <c r="Q23" s="19"/>
      <c r="R23" s="19"/>
      <c r="S23" s="19"/>
      <c r="T23" s="19"/>
      <c r="U23" s="19"/>
      <c r="V23" s="19"/>
      <c r="W23" s="19"/>
      <c r="X23" s="19"/>
      <c r="Y23" s="19"/>
      <c r="Z23" s="19"/>
    </row>
    <row r="24" ht="54.0" customHeight="1">
      <c r="A24" s="22" t="s">
        <v>60</v>
      </c>
      <c r="B24" s="3"/>
      <c r="C24" s="32"/>
      <c r="D24" s="32"/>
      <c r="E24" s="32"/>
      <c r="F24" s="32"/>
      <c r="G24" s="32"/>
      <c r="H24" s="32"/>
      <c r="I24" s="32"/>
      <c r="J24" s="32"/>
      <c r="K24" s="32"/>
      <c r="L24" s="32"/>
      <c r="M24" s="32"/>
      <c r="N24" s="32"/>
      <c r="O24" s="32"/>
      <c r="P24" s="32"/>
      <c r="Q24" s="32"/>
      <c r="R24" s="32"/>
      <c r="S24" s="32"/>
      <c r="T24" s="32"/>
      <c r="U24" s="32"/>
      <c r="V24" s="32"/>
      <c r="W24" s="32"/>
      <c r="X24" s="32"/>
      <c r="Y24" s="32"/>
      <c r="Z24" s="32"/>
    </row>
    <row r="25" ht="36.0" customHeight="1">
      <c r="A25" s="37" t="s">
        <v>61</v>
      </c>
      <c r="B25" s="3"/>
    </row>
    <row r="26" ht="46.5" customHeight="1">
      <c r="A26" s="38"/>
      <c r="B26" s="2"/>
    </row>
    <row r="27" ht="24.0" customHeight="1">
      <c r="A27" s="40" t="s">
        <v>67</v>
      </c>
      <c r="B27" s="3"/>
      <c r="C27" s="19"/>
      <c r="D27" s="19"/>
      <c r="E27" s="19"/>
      <c r="F27" s="19"/>
      <c r="G27" s="19"/>
      <c r="H27" s="19"/>
      <c r="I27" s="19"/>
      <c r="J27" s="19"/>
      <c r="K27" s="19"/>
      <c r="L27" s="19"/>
      <c r="M27" s="19"/>
      <c r="N27" s="19"/>
      <c r="O27" s="19"/>
      <c r="P27" s="19"/>
      <c r="Q27" s="19"/>
      <c r="R27" s="19"/>
      <c r="S27" s="19"/>
      <c r="T27" s="19"/>
      <c r="U27" s="19"/>
      <c r="V27" s="19"/>
      <c r="W27" s="19"/>
      <c r="X27" s="19"/>
      <c r="Y27" s="19"/>
      <c r="Z27" s="19"/>
    </row>
    <row r="28" ht="96.75" customHeight="1">
      <c r="A28" s="22" t="s">
        <v>68</v>
      </c>
      <c r="B28" s="3"/>
      <c r="C28" s="32"/>
      <c r="D28" s="32"/>
      <c r="E28" s="32"/>
      <c r="F28" s="32"/>
      <c r="G28" s="32"/>
      <c r="H28" s="32"/>
      <c r="I28" s="32"/>
      <c r="J28" s="32"/>
      <c r="K28" s="32"/>
      <c r="L28" s="32"/>
      <c r="M28" s="32"/>
      <c r="N28" s="32"/>
      <c r="O28" s="32"/>
      <c r="P28" s="32"/>
      <c r="Q28" s="32"/>
      <c r="R28" s="32"/>
      <c r="S28" s="32"/>
      <c r="T28" s="32"/>
      <c r="U28" s="32"/>
      <c r="V28" s="32"/>
      <c r="W28" s="32"/>
      <c r="X28" s="32"/>
      <c r="Y28" s="32"/>
      <c r="Z28" s="32"/>
    </row>
    <row r="29" ht="15.75" customHeight="1">
      <c r="A29" s="41"/>
    </row>
    <row r="30" ht="15.75" customHeight="1">
      <c r="A30" s="42"/>
    </row>
    <row r="31" ht="15.75" customHeight="1"/>
    <row r="32" ht="15.75" customHeight="1">
      <c r="A32" s="42"/>
    </row>
    <row r="33" ht="15.75" customHeight="1"/>
    <row r="34" ht="15.75" customHeight="1"/>
    <row r="35" ht="15.75" customHeight="1">
      <c r="A35" s="32"/>
    </row>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9">
    <mergeCell ref="A13:B13"/>
    <mergeCell ref="A14:B14"/>
    <mergeCell ref="A15:B15"/>
    <mergeCell ref="A16:B16"/>
    <mergeCell ref="A5:B5"/>
    <mergeCell ref="A3:B3"/>
    <mergeCell ref="A1:B1"/>
    <mergeCell ref="A2:B2"/>
    <mergeCell ref="A4:B4"/>
    <mergeCell ref="A27:B27"/>
    <mergeCell ref="A28:B28"/>
    <mergeCell ref="A26:B26"/>
    <mergeCell ref="A23:B23"/>
    <mergeCell ref="A24:B24"/>
    <mergeCell ref="A25:B25"/>
    <mergeCell ref="A6:B6"/>
    <mergeCell ref="A12:B12"/>
    <mergeCell ref="A17:B17"/>
    <mergeCell ref="A21:B21"/>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C00000"/>
    <pageSetUpPr/>
  </sheetPr>
  <sheetViews>
    <sheetView showGridLines="0" workbookViewId="0"/>
  </sheetViews>
  <sheetFormatPr customHeight="1" defaultColWidth="11.22" defaultRowHeight="15.0"/>
  <cols>
    <col customWidth="1" min="1" max="1" width="8.22"/>
    <col customWidth="1" min="2" max="2" width="58.44"/>
    <col customWidth="1" min="3" max="3" width="20.0"/>
    <col customWidth="1" min="4" max="4" width="50.67"/>
    <col customWidth="1" min="5" max="5" width="32.11"/>
    <col customWidth="1" min="6" max="26" width="6.67"/>
  </cols>
  <sheetData>
    <row r="1" ht="36.0" customHeight="1">
      <c r="A1" s="1" t="s">
        <v>0</v>
      </c>
      <c r="B1" s="2"/>
      <c r="C1" s="2"/>
      <c r="D1" s="3"/>
      <c r="E1" s="7" t="s">
        <v>1</v>
      </c>
      <c r="F1" s="9"/>
      <c r="G1" s="9"/>
      <c r="H1" s="9"/>
      <c r="I1" s="9"/>
      <c r="J1" s="9"/>
      <c r="K1" s="9"/>
      <c r="L1" s="9"/>
      <c r="M1" s="9"/>
      <c r="N1" s="9"/>
      <c r="O1" s="9"/>
      <c r="P1" s="9"/>
      <c r="Q1" s="9"/>
      <c r="R1" s="9"/>
      <c r="S1" s="9"/>
      <c r="T1" s="9"/>
      <c r="U1" s="9"/>
      <c r="V1" s="9"/>
      <c r="W1" s="9"/>
      <c r="X1" s="9"/>
      <c r="Y1" s="9"/>
      <c r="Z1" s="9"/>
    </row>
    <row r="2" ht="25.5" customHeight="1">
      <c r="A2" s="8" t="s">
        <v>3</v>
      </c>
      <c r="B2" s="2"/>
      <c r="C2" s="2"/>
      <c r="D2" s="2"/>
      <c r="E2" s="3"/>
      <c r="F2" s="9"/>
      <c r="G2" s="9"/>
      <c r="H2" s="9"/>
      <c r="I2" s="9"/>
      <c r="J2" s="9"/>
      <c r="K2" s="9"/>
      <c r="L2" s="9"/>
      <c r="M2" s="9"/>
      <c r="N2" s="9"/>
      <c r="O2" s="9"/>
      <c r="P2" s="9"/>
      <c r="Q2" s="9"/>
      <c r="R2" s="9"/>
      <c r="S2" s="9"/>
      <c r="T2" s="9"/>
      <c r="U2" s="9"/>
      <c r="V2" s="9"/>
      <c r="W2" s="9"/>
      <c r="X2" s="9"/>
      <c r="Y2" s="9"/>
      <c r="Z2" s="9"/>
    </row>
    <row r="3" ht="28.5" customHeight="1">
      <c r="A3" s="12" t="s">
        <v>5</v>
      </c>
      <c r="B3" s="14" t="s">
        <v>6</v>
      </c>
      <c r="C3" s="16" t="s">
        <v>7</v>
      </c>
      <c r="D3" s="2"/>
      <c r="E3" s="3"/>
      <c r="F3" s="9"/>
      <c r="G3" s="9"/>
      <c r="H3" s="9"/>
      <c r="I3" s="9"/>
      <c r="J3" s="9"/>
      <c r="K3" s="9"/>
      <c r="L3" s="9"/>
      <c r="M3" s="9"/>
      <c r="N3" s="9"/>
      <c r="O3" s="9"/>
      <c r="P3" s="9"/>
      <c r="Q3" s="9"/>
      <c r="R3" s="9"/>
      <c r="S3" s="9"/>
      <c r="T3" s="9"/>
      <c r="U3" s="9"/>
      <c r="V3" s="9"/>
      <c r="W3" s="9"/>
      <c r="X3" s="9"/>
      <c r="Y3" s="9"/>
      <c r="Z3" s="9"/>
    </row>
    <row r="4" ht="36.0" customHeight="1">
      <c r="A4" s="18" t="s">
        <v>8</v>
      </c>
      <c r="B4" s="3"/>
      <c r="C4" s="20"/>
      <c r="D4" s="21"/>
      <c r="E4" s="23"/>
      <c r="F4" s="9"/>
      <c r="G4" s="9"/>
      <c r="H4" s="9"/>
      <c r="I4" s="9"/>
      <c r="J4" s="9"/>
      <c r="K4" s="9"/>
      <c r="L4" s="9"/>
      <c r="M4" s="9"/>
      <c r="N4" s="9"/>
      <c r="O4" s="9"/>
      <c r="P4" s="9"/>
      <c r="Q4" s="9"/>
      <c r="R4" s="9"/>
      <c r="S4" s="9"/>
      <c r="T4" s="9"/>
      <c r="U4" s="9"/>
      <c r="V4" s="9"/>
      <c r="W4" s="9"/>
      <c r="X4" s="9"/>
      <c r="Y4" s="9"/>
      <c r="Z4" s="9"/>
    </row>
    <row r="5" ht="72.0" customHeight="1">
      <c r="A5" s="24" t="s">
        <v>12</v>
      </c>
      <c r="B5" s="2"/>
      <c r="C5" s="2"/>
      <c r="D5" s="2"/>
      <c r="E5" s="3"/>
      <c r="F5" s="9"/>
      <c r="G5" s="9"/>
      <c r="H5" s="9"/>
      <c r="I5" s="9"/>
      <c r="J5" s="9"/>
      <c r="K5" s="9"/>
      <c r="L5" s="9"/>
      <c r="M5" s="9"/>
      <c r="N5" s="9"/>
      <c r="O5" s="9"/>
      <c r="P5" s="9"/>
      <c r="Q5" s="9"/>
      <c r="R5" s="9"/>
      <c r="S5" s="9"/>
      <c r="T5" s="9"/>
      <c r="U5" s="9"/>
      <c r="V5" s="9"/>
      <c r="W5" s="9"/>
      <c r="X5" s="9"/>
      <c r="Y5" s="9"/>
      <c r="Z5" s="9"/>
    </row>
    <row r="6" ht="24.0" customHeight="1">
      <c r="A6" s="26" t="s">
        <v>13</v>
      </c>
      <c r="B6" s="2"/>
      <c r="C6" s="2"/>
      <c r="D6" s="2"/>
      <c r="E6" s="3"/>
      <c r="F6" s="9"/>
      <c r="G6" s="9"/>
      <c r="H6" s="9"/>
      <c r="I6" s="9"/>
      <c r="J6" s="9"/>
      <c r="K6" s="9"/>
      <c r="L6" s="9"/>
      <c r="M6" s="9"/>
      <c r="N6" s="9"/>
      <c r="O6" s="9"/>
      <c r="P6" s="9"/>
      <c r="Q6" s="9"/>
      <c r="R6" s="9"/>
      <c r="S6" s="9"/>
      <c r="T6" s="9"/>
      <c r="U6" s="9"/>
      <c r="V6" s="9"/>
      <c r="W6" s="9"/>
      <c r="X6" s="9"/>
      <c r="Y6" s="9"/>
      <c r="Z6" s="9"/>
    </row>
    <row r="7" ht="21.75" customHeight="1">
      <c r="A7" s="27" t="s">
        <v>23</v>
      </c>
      <c r="B7" s="28" t="s">
        <v>25</v>
      </c>
      <c r="C7" s="30" t="s">
        <v>27</v>
      </c>
      <c r="D7" s="2"/>
      <c r="E7" s="3"/>
      <c r="F7" s="9"/>
      <c r="G7" s="9"/>
      <c r="H7" s="9"/>
      <c r="I7" s="9"/>
      <c r="J7" s="9"/>
      <c r="K7" s="9"/>
      <c r="L7" s="9"/>
      <c r="M7" s="9"/>
      <c r="N7" s="9"/>
      <c r="O7" s="9"/>
      <c r="P7" s="9"/>
      <c r="Q7" s="9"/>
      <c r="R7" s="9"/>
      <c r="S7" s="9"/>
      <c r="T7" s="9"/>
      <c r="U7" s="9"/>
      <c r="V7" s="9"/>
      <c r="W7" s="9"/>
      <c r="X7" s="9"/>
      <c r="Y7" s="9"/>
      <c r="Z7" s="9"/>
    </row>
    <row r="8" ht="21.75" customHeight="1">
      <c r="A8" s="27" t="s">
        <v>30</v>
      </c>
      <c r="B8" s="28" t="s">
        <v>31</v>
      </c>
      <c r="C8" s="30" t="s">
        <v>32</v>
      </c>
      <c r="D8" s="2"/>
      <c r="E8" s="3"/>
      <c r="F8" s="9"/>
      <c r="G8" s="9"/>
      <c r="H8" s="9"/>
      <c r="I8" s="9"/>
      <c r="J8" s="9"/>
      <c r="K8" s="9"/>
      <c r="L8" s="9"/>
      <c r="M8" s="9"/>
      <c r="N8" s="9"/>
      <c r="O8" s="9"/>
      <c r="P8" s="9"/>
      <c r="Q8" s="9"/>
      <c r="R8" s="9"/>
      <c r="S8" s="9"/>
      <c r="T8" s="9"/>
      <c r="U8" s="9"/>
      <c r="V8" s="9"/>
      <c r="W8" s="9"/>
      <c r="X8" s="9"/>
      <c r="Y8" s="9"/>
      <c r="Z8" s="9"/>
    </row>
    <row r="9" ht="21.75" customHeight="1">
      <c r="A9" s="27" t="s">
        <v>35</v>
      </c>
      <c r="B9" s="28" t="s">
        <v>36</v>
      </c>
      <c r="C9" s="30" t="s">
        <v>37</v>
      </c>
      <c r="D9" s="2"/>
      <c r="E9" s="3"/>
      <c r="F9" s="9"/>
      <c r="G9" s="9"/>
      <c r="H9" s="9"/>
      <c r="I9" s="9"/>
      <c r="J9" s="9"/>
      <c r="K9" s="9"/>
      <c r="L9" s="9"/>
      <c r="M9" s="9"/>
      <c r="N9" s="9"/>
      <c r="O9" s="9"/>
      <c r="P9" s="9"/>
      <c r="Q9" s="9"/>
      <c r="R9" s="9"/>
      <c r="S9" s="9"/>
      <c r="T9" s="9"/>
      <c r="U9" s="9"/>
      <c r="V9" s="9"/>
      <c r="W9" s="9"/>
      <c r="X9" s="9"/>
      <c r="Y9" s="9"/>
      <c r="Z9" s="9"/>
    </row>
    <row r="10" ht="21.75" customHeight="1">
      <c r="A10" s="27" t="s">
        <v>39</v>
      </c>
      <c r="B10" s="28" t="s">
        <v>40</v>
      </c>
      <c r="C10" s="35" t="s">
        <v>41</v>
      </c>
      <c r="D10" s="2"/>
      <c r="E10" s="3"/>
      <c r="F10" s="9"/>
      <c r="G10" s="9"/>
      <c r="H10" s="9"/>
      <c r="I10" s="9"/>
      <c r="J10" s="9"/>
      <c r="K10" s="9"/>
      <c r="L10" s="9"/>
      <c r="M10" s="9"/>
      <c r="N10" s="9"/>
      <c r="O10" s="9"/>
      <c r="P10" s="9"/>
      <c r="Q10" s="9"/>
      <c r="R10" s="9"/>
      <c r="S10" s="9"/>
      <c r="T10" s="9"/>
      <c r="U10" s="9"/>
      <c r="V10" s="9"/>
      <c r="W10" s="9"/>
      <c r="X10" s="9"/>
      <c r="Y10" s="9"/>
      <c r="Z10" s="9"/>
    </row>
    <row r="11" ht="21.75" customHeight="1">
      <c r="A11" s="27" t="s">
        <v>50</v>
      </c>
      <c r="B11" s="28" t="s">
        <v>51</v>
      </c>
      <c r="C11" s="30" t="s">
        <v>52</v>
      </c>
      <c r="D11" s="2"/>
      <c r="E11" s="3"/>
      <c r="F11" s="9"/>
      <c r="G11" s="9"/>
      <c r="H11" s="9"/>
      <c r="I11" s="9"/>
      <c r="J11" s="9"/>
      <c r="K11" s="9"/>
      <c r="L11" s="9"/>
      <c r="M11" s="9"/>
      <c r="N11" s="9"/>
      <c r="O11" s="9"/>
      <c r="P11" s="9"/>
      <c r="Q11" s="9"/>
      <c r="R11" s="9"/>
      <c r="S11" s="9"/>
      <c r="T11" s="9"/>
      <c r="U11" s="9"/>
      <c r="V11" s="9"/>
      <c r="W11" s="9"/>
      <c r="X11" s="9"/>
      <c r="Y11" s="9"/>
      <c r="Z11" s="9"/>
    </row>
    <row r="12" ht="21.75" customHeight="1">
      <c r="A12" s="27" t="s">
        <v>53</v>
      </c>
      <c r="B12" s="28" t="s">
        <v>54</v>
      </c>
      <c r="C12" s="30" t="s">
        <v>55</v>
      </c>
      <c r="D12" s="2"/>
      <c r="E12" s="3"/>
      <c r="F12" s="9"/>
      <c r="G12" s="9"/>
      <c r="H12" s="9"/>
      <c r="I12" s="9"/>
      <c r="J12" s="9"/>
      <c r="K12" s="9"/>
      <c r="L12" s="9"/>
      <c r="M12" s="9"/>
      <c r="N12" s="9"/>
      <c r="O12" s="9"/>
      <c r="P12" s="9"/>
      <c r="Q12" s="9"/>
      <c r="R12" s="9"/>
      <c r="S12" s="9"/>
      <c r="T12" s="9"/>
      <c r="U12" s="9"/>
      <c r="V12" s="9"/>
      <c r="W12" s="9"/>
      <c r="X12" s="9"/>
      <c r="Y12" s="9"/>
      <c r="Z12" s="9"/>
    </row>
    <row r="13" ht="21.75" customHeight="1">
      <c r="A13" s="27" t="s">
        <v>57</v>
      </c>
      <c r="B13" s="28" t="s">
        <v>58</v>
      </c>
      <c r="C13" s="30" t="s">
        <v>59</v>
      </c>
      <c r="D13" s="2"/>
      <c r="E13" s="3"/>
      <c r="F13" s="9"/>
      <c r="G13" s="9"/>
      <c r="H13" s="9"/>
      <c r="I13" s="9"/>
      <c r="J13" s="9"/>
      <c r="K13" s="9"/>
      <c r="L13" s="9"/>
      <c r="M13" s="9"/>
      <c r="N13" s="9"/>
      <c r="O13" s="9"/>
      <c r="P13" s="9"/>
      <c r="Q13" s="9"/>
      <c r="R13" s="9"/>
      <c r="S13" s="9"/>
      <c r="T13" s="9"/>
      <c r="U13" s="9"/>
      <c r="V13" s="9"/>
      <c r="W13" s="9"/>
      <c r="X13" s="9"/>
      <c r="Y13" s="9"/>
      <c r="Z13" s="9"/>
    </row>
    <row r="14" ht="21.75" customHeight="1">
      <c r="A14" s="27" t="s">
        <v>62</v>
      </c>
      <c r="B14" s="28" t="s">
        <v>63</v>
      </c>
      <c r="C14" s="30" t="s">
        <v>64</v>
      </c>
      <c r="D14" s="2"/>
      <c r="E14" s="3"/>
      <c r="F14" s="9"/>
      <c r="G14" s="9"/>
      <c r="H14" s="9"/>
      <c r="I14" s="9"/>
      <c r="J14" s="9"/>
      <c r="K14" s="9"/>
      <c r="L14" s="9"/>
      <c r="M14" s="9"/>
      <c r="N14" s="9"/>
      <c r="O14" s="9"/>
      <c r="P14" s="9"/>
      <c r="Q14" s="9"/>
      <c r="R14" s="9"/>
      <c r="S14" s="9"/>
      <c r="T14" s="9"/>
      <c r="U14" s="9"/>
      <c r="V14" s="9"/>
      <c r="W14" s="9"/>
      <c r="X14" s="9"/>
      <c r="Y14" s="9"/>
      <c r="Z14" s="9"/>
    </row>
    <row r="15" ht="21.75" customHeight="1">
      <c r="A15" s="27" t="s">
        <v>65</v>
      </c>
      <c r="B15" s="28" t="s">
        <v>45</v>
      </c>
      <c r="C15" s="39" t="s">
        <v>66</v>
      </c>
      <c r="D15" s="2"/>
      <c r="E15" s="3"/>
      <c r="F15" s="9"/>
      <c r="G15" s="9"/>
      <c r="H15" s="9"/>
      <c r="I15" s="9"/>
      <c r="J15" s="9"/>
      <c r="K15" s="9"/>
      <c r="L15" s="9"/>
      <c r="M15" s="9"/>
      <c r="N15" s="9"/>
      <c r="O15" s="9"/>
      <c r="P15" s="9"/>
      <c r="Q15" s="9"/>
      <c r="R15" s="9"/>
      <c r="S15" s="9"/>
      <c r="T15" s="9"/>
      <c r="U15" s="9"/>
      <c r="V15" s="9"/>
      <c r="W15" s="9"/>
      <c r="X15" s="9"/>
      <c r="Y15" s="9"/>
      <c r="Z15" s="32"/>
    </row>
    <row r="16" ht="21.75" customHeight="1">
      <c r="A16" s="27" t="s">
        <v>69</v>
      </c>
      <c r="B16" s="28" t="s">
        <v>43</v>
      </c>
      <c r="C16" s="39" t="s">
        <v>66</v>
      </c>
      <c r="D16" s="2"/>
      <c r="E16" s="3"/>
      <c r="F16" s="9"/>
      <c r="G16" s="9"/>
      <c r="H16" s="9"/>
      <c r="I16" s="9"/>
      <c r="J16" s="9"/>
      <c r="K16" s="9"/>
      <c r="L16" s="9"/>
      <c r="M16" s="9"/>
      <c r="N16" s="9"/>
      <c r="O16" s="9"/>
      <c r="P16" s="9"/>
      <c r="Q16" s="9"/>
      <c r="R16" s="9"/>
      <c r="S16" s="9"/>
      <c r="T16" s="9"/>
      <c r="U16" s="9"/>
      <c r="V16" s="9"/>
      <c r="W16" s="9"/>
      <c r="X16" s="9"/>
      <c r="Y16" s="9"/>
      <c r="Z16" s="32"/>
    </row>
    <row r="17" ht="24.0" customHeight="1">
      <c r="A17" s="26" t="s">
        <v>70</v>
      </c>
      <c r="B17" s="2"/>
      <c r="C17" s="2"/>
      <c r="D17" s="2"/>
      <c r="E17" s="3"/>
      <c r="F17" s="9"/>
      <c r="G17" s="9"/>
      <c r="H17" s="9"/>
      <c r="I17" s="9"/>
      <c r="J17" s="9"/>
      <c r="K17" s="9"/>
      <c r="L17" s="9"/>
      <c r="M17" s="9"/>
      <c r="N17" s="9"/>
      <c r="O17" s="9"/>
      <c r="P17" s="9"/>
      <c r="Q17" s="9"/>
      <c r="R17" s="9"/>
      <c r="S17" s="9"/>
      <c r="T17" s="9"/>
      <c r="U17" s="9"/>
      <c r="V17" s="9"/>
      <c r="W17" s="9"/>
      <c r="X17" s="9"/>
      <c r="Y17" s="9"/>
      <c r="Z17" s="9"/>
    </row>
    <row r="18" ht="21.75" customHeight="1">
      <c r="A18" s="27" t="s">
        <v>71</v>
      </c>
      <c r="B18" s="28" t="s">
        <v>72</v>
      </c>
      <c r="C18" s="43" t="s">
        <v>73</v>
      </c>
      <c r="D18" s="2"/>
      <c r="E18" s="3"/>
      <c r="F18" s="9"/>
      <c r="G18" s="9"/>
      <c r="H18" s="9"/>
      <c r="I18" s="9"/>
      <c r="J18" s="9"/>
      <c r="K18" s="9"/>
      <c r="L18" s="9"/>
      <c r="M18" s="9"/>
      <c r="N18" s="9"/>
      <c r="O18" s="9"/>
      <c r="P18" s="9"/>
      <c r="Q18" s="9"/>
      <c r="R18" s="9"/>
      <c r="S18" s="9"/>
      <c r="T18" s="9"/>
      <c r="U18" s="9"/>
      <c r="V18" s="9"/>
      <c r="W18" s="9"/>
      <c r="X18" s="9"/>
      <c r="Y18" s="9"/>
      <c r="Z18" s="9"/>
    </row>
    <row r="19" ht="21.75" customHeight="1">
      <c r="A19" s="27" t="s">
        <v>74</v>
      </c>
      <c r="B19" s="28" t="s">
        <v>75</v>
      </c>
      <c r="C19" s="44" t="s">
        <v>76</v>
      </c>
      <c r="D19" s="2"/>
      <c r="E19" s="3"/>
      <c r="F19" s="9"/>
      <c r="G19" s="9"/>
      <c r="H19" s="9"/>
      <c r="I19" s="9"/>
      <c r="J19" s="9"/>
      <c r="K19" s="9"/>
      <c r="L19" s="9"/>
      <c r="M19" s="9"/>
      <c r="N19" s="9"/>
      <c r="O19" s="9"/>
      <c r="P19" s="9"/>
      <c r="Q19" s="9"/>
      <c r="R19" s="9"/>
      <c r="S19" s="9"/>
      <c r="T19" s="9"/>
      <c r="U19" s="9"/>
      <c r="V19" s="9"/>
      <c r="W19" s="9"/>
      <c r="X19" s="9"/>
      <c r="Y19" s="9"/>
      <c r="Z19" s="9"/>
    </row>
    <row r="20" ht="36.0" customHeight="1">
      <c r="A20" s="18" t="s">
        <v>77</v>
      </c>
      <c r="B20" s="3"/>
      <c r="C20" s="20"/>
      <c r="D20" s="21"/>
      <c r="E20" s="23"/>
      <c r="F20" s="9"/>
      <c r="G20" s="9"/>
      <c r="H20" s="9"/>
      <c r="I20" s="9"/>
      <c r="J20" s="9"/>
      <c r="K20" s="9"/>
      <c r="L20" s="9"/>
      <c r="M20" s="9"/>
      <c r="N20" s="9"/>
      <c r="O20" s="9"/>
      <c r="P20" s="9"/>
      <c r="Q20" s="9"/>
      <c r="R20" s="9"/>
      <c r="S20" s="9"/>
      <c r="T20" s="9"/>
      <c r="U20" s="9"/>
      <c r="V20" s="9"/>
      <c r="W20" s="9"/>
      <c r="X20" s="9"/>
      <c r="Y20" s="9"/>
      <c r="Z20" s="9"/>
    </row>
    <row r="21" ht="48.0" customHeight="1">
      <c r="A21" s="24" t="s">
        <v>78</v>
      </c>
      <c r="B21" s="2"/>
      <c r="C21" s="2"/>
      <c r="D21" s="2"/>
      <c r="E21" s="3"/>
      <c r="F21" s="9"/>
      <c r="G21" s="9"/>
      <c r="H21" s="9"/>
      <c r="I21" s="9"/>
      <c r="J21" s="9"/>
      <c r="K21" s="9"/>
      <c r="L21" s="9"/>
      <c r="M21" s="9"/>
      <c r="N21" s="9"/>
      <c r="O21" s="9"/>
      <c r="P21" s="9"/>
      <c r="Q21" s="9"/>
      <c r="R21" s="9"/>
      <c r="S21" s="9"/>
      <c r="T21" s="9"/>
      <c r="U21" s="9"/>
      <c r="V21" s="9"/>
      <c r="W21" s="9"/>
      <c r="X21" s="9"/>
      <c r="Y21" s="9"/>
      <c r="Z21" s="9"/>
    </row>
    <row r="22" ht="36.75" customHeight="1">
      <c r="A22" s="18" t="s">
        <v>15</v>
      </c>
      <c r="B22" s="3"/>
      <c r="C22" s="20" t="s">
        <v>79</v>
      </c>
      <c r="D22" s="20" t="s">
        <v>80</v>
      </c>
      <c r="E22" s="45" t="s">
        <v>81</v>
      </c>
      <c r="F22" s="9"/>
      <c r="G22" s="9"/>
      <c r="H22" s="9"/>
      <c r="I22" s="9"/>
      <c r="J22" s="9"/>
      <c r="K22" s="9"/>
      <c r="L22" s="9"/>
      <c r="M22" s="9"/>
      <c r="N22" s="9"/>
      <c r="O22" s="9"/>
      <c r="P22" s="9"/>
      <c r="Q22" s="9"/>
      <c r="R22" s="9"/>
      <c r="S22" s="9"/>
      <c r="T22" s="9"/>
      <c r="U22" s="9"/>
      <c r="V22" s="9"/>
      <c r="W22" s="9"/>
      <c r="X22" s="9"/>
      <c r="Y22" s="9"/>
      <c r="Z22" s="9"/>
    </row>
    <row r="23" ht="48.0" customHeight="1">
      <c r="A23" s="24" t="s">
        <v>82</v>
      </c>
      <c r="B23" s="2"/>
      <c r="C23" s="2"/>
      <c r="D23" s="2"/>
      <c r="E23" s="3"/>
      <c r="F23" s="9"/>
      <c r="G23" s="9"/>
      <c r="H23" s="9"/>
      <c r="I23" s="9"/>
      <c r="J23" s="9"/>
      <c r="K23" s="9"/>
      <c r="L23" s="9"/>
      <c r="M23" s="9"/>
      <c r="N23" s="9"/>
      <c r="O23" s="9"/>
      <c r="P23" s="9"/>
      <c r="Q23" s="9"/>
      <c r="R23" s="9"/>
      <c r="S23" s="9"/>
      <c r="T23" s="9"/>
      <c r="U23" s="9"/>
      <c r="V23" s="9"/>
      <c r="W23" s="9"/>
      <c r="X23" s="9"/>
      <c r="Y23" s="9"/>
      <c r="Z23" s="9"/>
    </row>
    <row r="24" ht="48.0" customHeight="1">
      <c r="A24" s="27" t="s">
        <v>83</v>
      </c>
      <c r="B24" s="27" t="s">
        <v>84</v>
      </c>
      <c r="C24" s="46" t="s">
        <v>85</v>
      </c>
      <c r="D24" s="47"/>
      <c r="E24" s="48" t="str">
        <f>IF(C24="","",IF(C24="Yes","You are required to complete the questions in the HIPAA section.","Responses to the questions in the HIPAA section are optional."))</f>
        <v>Responses to the questions in the HIPAA section are optional.</v>
      </c>
      <c r="F24" s="9"/>
      <c r="G24" s="9"/>
      <c r="H24" s="9"/>
      <c r="I24" s="9"/>
      <c r="J24" s="9"/>
      <c r="K24" s="9"/>
      <c r="L24" s="9"/>
      <c r="M24" s="9"/>
      <c r="N24" s="9"/>
      <c r="O24" s="9"/>
      <c r="P24" s="9"/>
      <c r="Q24" s="9"/>
      <c r="R24" s="9"/>
      <c r="S24" s="9"/>
      <c r="T24" s="9"/>
      <c r="U24" s="9"/>
      <c r="V24" s="9"/>
      <c r="W24" s="9"/>
      <c r="X24" s="9"/>
      <c r="Y24" s="9"/>
      <c r="Z24" s="9"/>
    </row>
    <row r="25" ht="48.0" customHeight="1">
      <c r="A25" s="27" t="s">
        <v>86</v>
      </c>
      <c r="B25" s="27" t="s">
        <v>87</v>
      </c>
      <c r="C25" s="46" t="s">
        <v>85</v>
      </c>
      <c r="D25" s="49"/>
      <c r="E25" s="48" t="str">
        <f>IF(C25="","",IF(C25="Yes","You are required to complete the questions in the Mobile Application section.","Responses to the questions in the Mobile Application section are optional."))</f>
        <v>Responses to the questions in the Mobile Application section are optional.</v>
      </c>
      <c r="F25" s="9"/>
      <c r="G25" s="9"/>
      <c r="H25" s="9"/>
      <c r="I25" s="9"/>
      <c r="J25" s="9"/>
      <c r="K25" s="9"/>
      <c r="L25" s="9"/>
      <c r="M25" s="9"/>
      <c r="N25" s="9"/>
      <c r="O25" s="9"/>
      <c r="P25" s="9"/>
      <c r="Q25" s="9"/>
      <c r="R25" s="9"/>
      <c r="S25" s="9"/>
      <c r="T25" s="9"/>
      <c r="U25" s="9"/>
      <c r="V25" s="9"/>
      <c r="W25" s="9"/>
      <c r="X25" s="9"/>
      <c r="Y25" s="9"/>
      <c r="Z25" s="9"/>
    </row>
    <row r="26" ht="48.0" customHeight="1">
      <c r="A26" s="27" t="s">
        <v>88</v>
      </c>
      <c r="B26" s="27" t="s">
        <v>89</v>
      </c>
      <c r="C26" s="46" t="s">
        <v>85</v>
      </c>
      <c r="D26" s="49"/>
      <c r="E26" s="48" t="str">
        <f>IF(C26="","",IF(C26="Yes","You are required to complete the questions in the Third Parties section.","Responses to the questions in the Third Parties section are optional."))</f>
        <v>Responses to the questions in the Third Parties section are optional.</v>
      </c>
      <c r="F26" s="9"/>
      <c r="G26" s="9"/>
      <c r="H26" s="9"/>
      <c r="I26" s="9"/>
      <c r="J26" s="9"/>
      <c r="K26" s="9"/>
      <c r="L26" s="9"/>
      <c r="M26" s="9"/>
      <c r="N26" s="9"/>
      <c r="O26" s="9"/>
      <c r="P26" s="9"/>
      <c r="Q26" s="9"/>
      <c r="R26" s="9"/>
      <c r="S26" s="9"/>
      <c r="T26" s="9"/>
      <c r="U26" s="9"/>
      <c r="V26" s="9"/>
      <c r="W26" s="9"/>
      <c r="X26" s="9"/>
      <c r="Y26" s="9"/>
      <c r="Z26" s="9"/>
    </row>
    <row r="27" ht="48.0" customHeight="1">
      <c r="A27" s="27" t="s">
        <v>90</v>
      </c>
      <c r="B27" s="27" t="s">
        <v>91</v>
      </c>
      <c r="C27" s="46" t="s">
        <v>92</v>
      </c>
      <c r="D27" s="47"/>
      <c r="E27" s="48" t="str">
        <f>IF(C27="","",IF(C27="Yes","You are required to complete the questions in the Business Continuity section.","Respond to as many questions in the Business Continuity section as possible."))</f>
        <v>You are required to complete the questions in the Business Continuity section.</v>
      </c>
      <c r="F27" s="9"/>
      <c r="G27" s="9"/>
      <c r="H27" s="9"/>
      <c r="I27" s="9"/>
      <c r="J27" s="9"/>
      <c r="K27" s="9"/>
      <c r="L27" s="9"/>
      <c r="M27" s="9"/>
      <c r="N27" s="9"/>
      <c r="O27" s="9"/>
      <c r="P27" s="9"/>
      <c r="Q27" s="9"/>
      <c r="R27" s="9"/>
      <c r="S27" s="9"/>
      <c r="T27" s="9"/>
      <c r="U27" s="9"/>
      <c r="V27" s="9"/>
      <c r="W27" s="9"/>
      <c r="X27" s="9"/>
      <c r="Y27" s="9"/>
      <c r="Z27" s="9"/>
    </row>
    <row r="28" ht="48.0" customHeight="1">
      <c r="A28" s="27" t="s">
        <v>93</v>
      </c>
      <c r="B28" s="27" t="s">
        <v>94</v>
      </c>
      <c r="C28" s="46" t="s">
        <v>92</v>
      </c>
      <c r="D28" s="47"/>
      <c r="E28" s="48" t="str">
        <f>IF(C28="","",IF(C28="Yes","You are required to complete the questions in the Disaster Recovery section.","Respond to as many questions in the Disaster Recovery section as possible."))</f>
        <v>You are required to complete the questions in the Disaster Recovery section.</v>
      </c>
      <c r="F28" s="9"/>
      <c r="G28" s="9"/>
      <c r="H28" s="9"/>
      <c r="I28" s="9"/>
      <c r="J28" s="9"/>
      <c r="K28" s="9"/>
      <c r="L28" s="9"/>
      <c r="M28" s="9"/>
      <c r="N28" s="9"/>
      <c r="O28" s="9"/>
      <c r="P28" s="9"/>
      <c r="Q28" s="9"/>
      <c r="R28" s="9"/>
      <c r="S28" s="9"/>
      <c r="T28" s="9"/>
      <c r="U28" s="9"/>
      <c r="V28" s="9"/>
      <c r="W28" s="9"/>
      <c r="X28" s="9"/>
      <c r="Y28" s="9"/>
      <c r="Z28" s="9"/>
    </row>
    <row r="29" ht="48.0" customHeight="1">
      <c r="A29" s="27" t="s">
        <v>95</v>
      </c>
      <c r="B29" s="27" t="s">
        <v>96</v>
      </c>
      <c r="C29" s="46" t="s">
        <v>85</v>
      </c>
      <c r="D29" s="47"/>
      <c r="E29" s="48" t="str">
        <f>IF(C29="","",IF(C29="Yes","You are required to complete the questions in the PCI DSS section.","Responses to the questions in the PCI DSS section are optional."))</f>
        <v>Responses to the questions in the PCI DSS section are optional.</v>
      </c>
      <c r="F29" s="9"/>
      <c r="G29" s="9"/>
      <c r="H29" s="9"/>
      <c r="I29" s="9"/>
      <c r="J29" s="9"/>
      <c r="K29" s="9"/>
      <c r="L29" s="9"/>
      <c r="M29" s="9"/>
      <c r="N29" s="9"/>
      <c r="O29" s="9"/>
      <c r="P29" s="9"/>
      <c r="Q29" s="9"/>
      <c r="R29" s="9"/>
      <c r="S29" s="9"/>
      <c r="T29" s="9"/>
      <c r="U29" s="9"/>
      <c r="V29" s="9"/>
      <c r="W29" s="9"/>
      <c r="X29" s="9"/>
      <c r="Y29" s="9"/>
      <c r="Z29" s="9"/>
    </row>
    <row r="30" ht="63.75" customHeight="1">
      <c r="A30" s="27" t="s">
        <v>97</v>
      </c>
      <c r="B30" s="27" t="s">
        <v>98</v>
      </c>
      <c r="C30" s="46" t="s">
        <v>85</v>
      </c>
      <c r="D30" s="47"/>
      <c r="E30" s="48" t="str">
        <f>IF(C30="","",IF(C30="Yes","You are required to complete the questions in the Consulting section. All questions AFTER the Consulting section are OPTIONAL.","Responses to the questions in the Consulting section are optional."))</f>
        <v>Responses to the questions in the Consulting section are optional.</v>
      </c>
      <c r="F30" s="9"/>
      <c r="G30" s="9"/>
      <c r="H30" s="9"/>
      <c r="I30" s="9"/>
      <c r="J30" s="9"/>
      <c r="K30" s="9"/>
      <c r="L30" s="9"/>
      <c r="M30" s="9"/>
      <c r="N30" s="9"/>
      <c r="O30" s="9"/>
      <c r="P30" s="9"/>
      <c r="Q30" s="9"/>
      <c r="R30" s="9"/>
      <c r="S30" s="9"/>
      <c r="T30" s="9"/>
      <c r="U30" s="9"/>
      <c r="V30" s="9"/>
      <c r="W30" s="9"/>
      <c r="X30" s="9"/>
      <c r="Y30" s="9"/>
      <c r="Z30" s="9"/>
    </row>
    <row r="31" ht="36.0" customHeight="1">
      <c r="A31" s="18" t="s">
        <v>17</v>
      </c>
      <c r="B31" s="3"/>
      <c r="C31" s="20" t="s">
        <v>79</v>
      </c>
      <c r="D31" s="20" t="s">
        <v>80</v>
      </c>
      <c r="E31" s="45" t="s">
        <v>81</v>
      </c>
      <c r="F31" s="9"/>
      <c r="G31" s="9"/>
      <c r="H31" s="9"/>
      <c r="I31" s="9"/>
      <c r="J31" s="9"/>
      <c r="K31" s="9"/>
      <c r="L31" s="9"/>
      <c r="M31" s="9"/>
      <c r="N31" s="9"/>
      <c r="O31" s="9"/>
      <c r="P31" s="9"/>
      <c r="Q31" s="9"/>
      <c r="R31" s="9"/>
      <c r="S31" s="9"/>
      <c r="T31" s="9"/>
      <c r="U31" s="9"/>
      <c r="V31" s="9"/>
      <c r="W31" s="9"/>
      <c r="X31" s="9"/>
      <c r="Y31" s="9"/>
      <c r="Z31" s="9"/>
    </row>
    <row r="32" ht="96.75" customHeight="1">
      <c r="A32" s="27" t="s">
        <v>99</v>
      </c>
      <c r="B32" s="27" t="s">
        <v>100</v>
      </c>
      <c r="C32" s="46" t="s">
        <v>85</v>
      </c>
      <c r="D32" s="50" t="s">
        <v>101</v>
      </c>
      <c r="E32" s="51" t="str">
        <f>IF(C32="","",IF(C32="Yes","Provide the date of assessment and include a SOC 2 Type 2 (preferred) or SOC 3 report. If you have a SOC3 report, include a URL for the published report. Indicate if your hosting provider was the subject of the audit.","Describe any plans to undergo a SSAE 16 audit."))</f>
        <v>Describe any plans to undergo a SSAE 16 audit.</v>
      </c>
      <c r="F32" s="9"/>
      <c r="G32" s="9"/>
      <c r="H32" s="9"/>
      <c r="I32" s="9"/>
      <c r="J32" s="9"/>
      <c r="K32" s="9"/>
      <c r="L32" s="9"/>
      <c r="M32" s="9"/>
      <c r="N32" s="9"/>
      <c r="O32" s="9"/>
      <c r="P32" s="9"/>
      <c r="Q32" s="9"/>
      <c r="R32" s="9"/>
      <c r="S32" s="9"/>
      <c r="T32" s="9"/>
      <c r="U32" s="9"/>
      <c r="V32" s="9"/>
      <c r="W32" s="9"/>
      <c r="X32" s="9"/>
      <c r="Y32" s="9"/>
      <c r="Z32" s="9"/>
    </row>
    <row r="33" ht="48.0" customHeight="1">
      <c r="A33" s="27" t="s">
        <v>102</v>
      </c>
      <c r="B33" s="27" t="s">
        <v>103</v>
      </c>
      <c r="C33" s="46" t="s">
        <v>85</v>
      </c>
      <c r="D33" s="52" t="s">
        <v>104</v>
      </c>
      <c r="E33" s="51" t="str">
        <f>IF(C33="","",IF(C33="Yes","Please include a copy with your response and include a URL for the published assessment.","Describe any plans to complete the CSA self assessment or CAIQ."))</f>
        <v>Describe any plans to complete the CSA self assessment or CAIQ.</v>
      </c>
      <c r="F33" s="9"/>
      <c r="G33" s="9"/>
      <c r="H33" s="9"/>
      <c r="I33" s="9"/>
      <c r="J33" s="9"/>
      <c r="K33" s="9"/>
      <c r="L33" s="9"/>
      <c r="M33" s="9"/>
      <c r="N33" s="9"/>
      <c r="O33" s="9"/>
      <c r="P33" s="9"/>
      <c r="Q33" s="9"/>
      <c r="R33" s="9"/>
      <c r="S33" s="9"/>
      <c r="T33" s="9"/>
      <c r="U33" s="9"/>
      <c r="V33" s="9"/>
      <c r="W33" s="9"/>
      <c r="X33" s="9"/>
      <c r="Y33" s="9"/>
      <c r="Z33" s="9"/>
    </row>
    <row r="34" ht="48.0" customHeight="1">
      <c r="A34" s="27" t="s">
        <v>105</v>
      </c>
      <c r="B34" s="27" t="s">
        <v>106</v>
      </c>
      <c r="C34" s="46" t="s">
        <v>85</v>
      </c>
      <c r="D34" s="52" t="s">
        <v>104</v>
      </c>
      <c r="E34" s="48" t="str">
        <f>IF(C34="","",IF(C34="Yes","Provide date of certification, any supporting documentation, and a URL for the certification.","Describe any plans to obtain CSA STAR certification."))</f>
        <v>Describe any plans to obtain CSA STAR certification.</v>
      </c>
      <c r="F34" s="9"/>
      <c r="G34" s="9"/>
      <c r="H34" s="9"/>
      <c r="I34" s="9"/>
      <c r="J34" s="9"/>
      <c r="K34" s="9"/>
      <c r="L34" s="9"/>
      <c r="M34" s="9"/>
      <c r="N34" s="9"/>
      <c r="O34" s="9"/>
      <c r="P34" s="9"/>
      <c r="Q34" s="9"/>
      <c r="R34" s="9"/>
      <c r="S34" s="9"/>
      <c r="T34" s="9"/>
      <c r="U34" s="9"/>
      <c r="V34" s="9"/>
      <c r="W34" s="9"/>
      <c r="X34" s="9"/>
      <c r="Y34" s="9"/>
      <c r="Z34" s="9"/>
    </row>
    <row r="35" ht="63.75" customHeight="1">
      <c r="A35" s="27" t="s">
        <v>107</v>
      </c>
      <c r="B35" s="27" t="s">
        <v>108</v>
      </c>
      <c r="C35" s="46" t="s">
        <v>85</v>
      </c>
      <c r="D35" s="50" t="s">
        <v>109</v>
      </c>
      <c r="E35" s="48" t="str">
        <f>IF(C35="","",IF(C35="Yes","Provide documentation on how your organization conforms to each framework and indicate current certification levels, where appropriate.","Describe any plans to conform to an industry standard security framework."))</f>
        <v>Describe any plans to conform to an industry standard security framework.</v>
      </c>
      <c r="F35" s="9"/>
      <c r="G35" s="9"/>
      <c r="H35" s="9"/>
      <c r="I35" s="9"/>
      <c r="J35" s="9"/>
      <c r="K35" s="9"/>
      <c r="L35" s="9"/>
      <c r="M35" s="9"/>
      <c r="N35" s="9"/>
      <c r="O35" s="9"/>
      <c r="P35" s="9"/>
      <c r="Q35" s="9"/>
      <c r="R35" s="9"/>
      <c r="S35" s="9"/>
      <c r="T35" s="9"/>
      <c r="U35" s="9"/>
      <c r="V35" s="9"/>
      <c r="W35" s="9"/>
      <c r="X35" s="9"/>
      <c r="Y35" s="9"/>
      <c r="Z35" s="9"/>
    </row>
    <row r="36" ht="63.75" customHeight="1">
      <c r="A36" s="27" t="s">
        <v>110</v>
      </c>
      <c r="B36" s="27" t="s">
        <v>111</v>
      </c>
      <c r="C36" s="46" t="s">
        <v>85</v>
      </c>
      <c r="D36" s="53" t="s">
        <v>104</v>
      </c>
      <c r="E36" s="48" t="str">
        <f>IF(C36="","",IF(C36="Yes","Indicate level, agency issuing ATO, and necessary details on ATO. If using FEDRamp, please indicate the supporting details.","Describe any plans to become FISMA compliant."))</f>
        <v>Describe any plans to become FISMA compliant.</v>
      </c>
      <c r="F36" s="9"/>
      <c r="G36" s="9"/>
      <c r="H36" s="9"/>
      <c r="I36" s="9"/>
      <c r="J36" s="9"/>
      <c r="K36" s="9"/>
      <c r="L36" s="9"/>
      <c r="M36" s="9"/>
      <c r="N36" s="9"/>
      <c r="O36" s="9"/>
      <c r="P36" s="9"/>
      <c r="Q36" s="9"/>
      <c r="R36" s="9"/>
      <c r="S36" s="9"/>
      <c r="T36" s="9"/>
      <c r="U36" s="9"/>
      <c r="V36" s="9"/>
      <c r="W36" s="9"/>
      <c r="X36" s="9"/>
      <c r="Y36" s="9"/>
      <c r="Z36" s="9"/>
    </row>
    <row r="37" ht="48.0" customHeight="1">
      <c r="A37" s="27" t="s">
        <v>112</v>
      </c>
      <c r="B37" s="27" t="s">
        <v>113</v>
      </c>
      <c r="C37" s="46" t="s">
        <v>92</v>
      </c>
      <c r="D37" s="54" t="s">
        <v>114</v>
      </c>
      <c r="E37" s="48" t="str">
        <f>IF(C37="","",IF(C37="Yes","Provide your data privacy document (or a valid link to it) upon submission.","Describe your plans to provide a data privacy document."))</f>
        <v>Provide your data privacy document (or a valid link to it) upon submission.</v>
      </c>
      <c r="F37" s="9"/>
      <c r="G37" s="9"/>
      <c r="H37" s="9"/>
      <c r="I37" s="9"/>
      <c r="J37" s="9"/>
      <c r="K37" s="9"/>
      <c r="L37" s="9"/>
      <c r="M37" s="9"/>
      <c r="N37" s="9"/>
      <c r="O37" s="9"/>
      <c r="P37" s="9"/>
      <c r="Q37" s="9"/>
      <c r="R37" s="9"/>
      <c r="S37" s="9"/>
      <c r="T37" s="9"/>
      <c r="U37" s="9"/>
      <c r="V37" s="9"/>
      <c r="W37" s="9"/>
      <c r="X37" s="9"/>
      <c r="Y37" s="9"/>
      <c r="Z37" s="9"/>
    </row>
    <row r="38" ht="36.0" customHeight="1">
      <c r="A38" s="18" t="s">
        <v>19</v>
      </c>
      <c r="B38" s="3"/>
      <c r="C38" s="20" t="s">
        <v>79</v>
      </c>
      <c r="D38" s="20" t="s">
        <v>80</v>
      </c>
      <c r="E38" s="45" t="s">
        <v>81</v>
      </c>
      <c r="F38" s="9"/>
      <c r="G38" s="9"/>
      <c r="H38" s="9"/>
      <c r="I38" s="9"/>
      <c r="J38" s="9"/>
      <c r="K38" s="9"/>
      <c r="L38" s="9"/>
      <c r="M38" s="9"/>
      <c r="N38" s="9"/>
      <c r="O38" s="9"/>
      <c r="P38" s="9"/>
      <c r="Q38" s="9"/>
      <c r="R38" s="9"/>
      <c r="S38" s="9"/>
      <c r="T38" s="9"/>
      <c r="U38" s="9"/>
      <c r="V38" s="9"/>
      <c r="W38" s="9"/>
      <c r="X38" s="9"/>
      <c r="Y38" s="9"/>
      <c r="Z38" s="9"/>
    </row>
    <row r="39" ht="54.0" customHeight="1">
      <c r="A39" s="27" t="s">
        <v>115</v>
      </c>
      <c r="B39" s="27" t="s">
        <v>116</v>
      </c>
      <c r="C39" s="55" t="s">
        <v>117</v>
      </c>
      <c r="D39" s="3"/>
      <c r="E39" s="48" t="s">
        <v>118</v>
      </c>
      <c r="F39" s="9"/>
      <c r="G39" s="9"/>
      <c r="H39" s="9"/>
      <c r="I39" s="9"/>
      <c r="J39" s="9"/>
      <c r="K39" s="9"/>
      <c r="L39" s="9"/>
      <c r="M39" s="9"/>
      <c r="N39" s="9"/>
      <c r="O39" s="9"/>
      <c r="P39" s="9"/>
      <c r="Q39" s="9"/>
      <c r="R39" s="9"/>
      <c r="S39" s="9"/>
      <c r="T39" s="9"/>
      <c r="U39" s="9"/>
      <c r="V39" s="9"/>
      <c r="W39" s="9"/>
      <c r="X39" s="9"/>
      <c r="Y39" s="9"/>
      <c r="Z39" s="9"/>
    </row>
    <row r="40" ht="54.0" customHeight="1">
      <c r="A40" s="27" t="s">
        <v>119</v>
      </c>
      <c r="B40" s="27" t="s">
        <v>120</v>
      </c>
      <c r="C40" s="56" t="s">
        <v>121</v>
      </c>
      <c r="D40" s="3"/>
      <c r="E40" s="48" t="s">
        <v>122</v>
      </c>
      <c r="F40" s="9"/>
      <c r="G40" s="9"/>
      <c r="H40" s="9"/>
      <c r="I40" s="9"/>
      <c r="J40" s="9"/>
      <c r="K40" s="9"/>
      <c r="L40" s="9"/>
      <c r="M40" s="9"/>
      <c r="N40" s="9"/>
      <c r="O40" s="9"/>
      <c r="P40" s="9"/>
      <c r="Q40" s="9"/>
      <c r="R40" s="9"/>
      <c r="S40" s="9"/>
      <c r="T40" s="9"/>
      <c r="U40" s="9"/>
      <c r="V40" s="9"/>
      <c r="W40" s="9"/>
      <c r="X40" s="9"/>
      <c r="Y40" s="9"/>
      <c r="Z40" s="9"/>
    </row>
    <row r="41" ht="54.0" customHeight="1">
      <c r="A41" s="27" t="s">
        <v>123</v>
      </c>
      <c r="B41" s="27" t="s">
        <v>124</v>
      </c>
      <c r="C41" s="57">
        <v>60.0</v>
      </c>
      <c r="D41" s="49"/>
      <c r="E41" s="48" t="str">
        <f>IF(C41="","",IF(C41="Yes","Provide a list of Higher Ed references, with contact information.","State your primary industry."))</f>
        <v>State your primary industry.</v>
      </c>
      <c r="F41" s="9"/>
      <c r="G41" s="9"/>
      <c r="H41" s="9"/>
      <c r="I41" s="9"/>
      <c r="J41" s="9"/>
      <c r="K41" s="9"/>
      <c r="L41" s="9"/>
      <c r="M41" s="9"/>
      <c r="N41" s="9"/>
      <c r="O41" s="9"/>
      <c r="P41" s="9"/>
      <c r="Q41" s="9"/>
      <c r="R41" s="9"/>
      <c r="S41" s="9"/>
      <c r="T41" s="9"/>
      <c r="U41" s="9"/>
      <c r="V41" s="9"/>
      <c r="W41" s="9"/>
      <c r="X41" s="9"/>
      <c r="Y41" s="9"/>
      <c r="Z41" s="9"/>
    </row>
    <row r="42" ht="63.75" customHeight="1">
      <c r="A42" s="27" t="s">
        <v>125</v>
      </c>
      <c r="B42" s="27" t="s">
        <v>126</v>
      </c>
      <c r="C42" s="46" t="s">
        <v>85</v>
      </c>
      <c r="D42" s="58"/>
      <c r="E42" s="48" t="str">
        <f>IF(C42="","",IF(C42="Yes","Provide a detailed summary of the breach.",""))</f>
        <v/>
      </c>
      <c r="F42" s="9"/>
      <c r="G42" s="9"/>
      <c r="H42" s="9"/>
      <c r="I42" s="9"/>
      <c r="J42" s="9"/>
      <c r="K42" s="9"/>
      <c r="L42" s="9"/>
      <c r="M42" s="9"/>
      <c r="N42" s="9"/>
      <c r="O42" s="9"/>
      <c r="P42" s="9"/>
      <c r="Q42" s="9"/>
      <c r="R42" s="9"/>
      <c r="S42" s="9"/>
      <c r="T42" s="9"/>
      <c r="U42" s="9"/>
      <c r="V42" s="9"/>
      <c r="W42" s="9"/>
      <c r="X42" s="9"/>
      <c r="Y42" s="9"/>
      <c r="Z42" s="9"/>
    </row>
    <row r="43" ht="54.0" customHeight="1">
      <c r="A43" s="27" t="s">
        <v>128</v>
      </c>
      <c r="B43" s="27" t="s">
        <v>129</v>
      </c>
      <c r="C43" s="46" t="s">
        <v>92</v>
      </c>
      <c r="D43" s="50" t="s">
        <v>130</v>
      </c>
      <c r="E43" s="48" t="str">
        <f>IF(C43="","",IF(C43="Yes","Decribe your Information Security Office, including size, talents, resources, etc.","Describe any plans to create an Information Security Office for your organization."))</f>
        <v>Decribe your Information Security Office, including size, talents, resources, etc.</v>
      </c>
      <c r="F43" s="9"/>
      <c r="G43" s="9"/>
      <c r="H43" s="9"/>
      <c r="I43" s="9"/>
      <c r="J43" s="9"/>
      <c r="K43" s="9"/>
      <c r="L43" s="9"/>
      <c r="M43" s="9"/>
      <c r="N43" s="9"/>
      <c r="O43" s="9"/>
      <c r="P43" s="9"/>
      <c r="Q43" s="9"/>
      <c r="R43" s="9"/>
      <c r="S43" s="9"/>
      <c r="T43" s="9"/>
      <c r="U43" s="9"/>
      <c r="V43" s="9"/>
      <c r="W43" s="9"/>
      <c r="X43" s="9"/>
      <c r="Y43" s="9"/>
      <c r="Z43" s="9"/>
    </row>
    <row r="44" ht="63.75" customHeight="1">
      <c r="A44" s="27" t="s">
        <v>131</v>
      </c>
      <c r="B44" s="27" t="s">
        <v>132</v>
      </c>
      <c r="C44" s="46" t="s">
        <v>92</v>
      </c>
      <c r="D44" s="60" t="s">
        <v>133</v>
      </c>
      <c r="E44" s="48" t="str">
        <f>IF(C44="","",IF(C44="Yes","Describe the structure and size of your Software and System Development teams. (e.g. Customer Support, Implementation, Product Management, etc.)","Describe any plans to create an Information Security Office for your organization."))</f>
        <v>Describe the structure and size of your Software and System Development teams. (e.g. Customer Support, Implementation, Product Management, etc.)</v>
      </c>
      <c r="F44" s="9"/>
      <c r="G44" s="9"/>
      <c r="H44" s="9"/>
      <c r="I44" s="9"/>
      <c r="J44" s="9"/>
      <c r="K44" s="9"/>
      <c r="L44" s="9"/>
      <c r="M44" s="9"/>
      <c r="N44" s="9"/>
      <c r="O44" s="9"/>
      <c r="P44" s="9"/>
      <c r="Q44" s="9"/>
      <c r="R44" s="9"/>
      <c r="S44" s="9"/>
      <c r="T44" s="9"/>
      <c r="U44" s="9"/>
      <c r="V44" s="9"/>
      <c r="W44" s="9"/>
      <c r="X44" s="9"/>
      <c r="Y44" s="9"/>
      <c r="Z44" s="9"/>
    </row>
    <row r="45" ht="82.5" customHeight="1">
      <c r="A45" s="27" t="s">
        <v>134</v>
      </c>
      <c r="B45" s="27" t="s">
        <v>135</v>
      </c>
      <c r="C45" s="62"/>
      <c r="D45" s="3"/>
      <c r="E45" s="48" t="s">
        <v>136</v>
      </c>
      <c r="F45" s="9"/>
      <c r="G45" s="9"/>
      <c r="H45" s="9"/>
      <c r="I45" s="9"/>
      <c r="J45" s="9"/>
      <c r="K45" s="9"/>
      <c r="L45" s="9"/>
      <c r="M45" s="9"/>
      <c r="N45" s="9"/>
      <c r="O45" s="9"/>
      <c r="P45" s="9"/>
      <c r="Q45" s="9"/>
      <c r="R45" s="9"/>
      <c r="S45" s="9"/>
      <c r="T45" s="9"/>
      <c r="U45" s="9"/>
      <c r="V45" s="9"/>
      <c r="W45" s="9"/>
      <c r="X45" s="9"/>
      <c r="Y45" s="9"/>
      <c r="Z45" s="9"/>
    </row>
    <row r="46" ht="36.0" customHeight="1">
      <c r="A46" s="18" t="str">
        <f>IF($C$26="No","Third Parties - Optional based on QUALIFIER response.","Third Parties")</f>
        <v>Third Parties - Optional based on QUALIFIER response.</v>
      </c>
      <c r="B46" s="3"/>
      <c r="C46" s="20" t="s">
        <v>79</v>
      </c>
      <c r="D46" s="20" t="s">
        <v>80</v>
      </c>
      <c r="E46" s="45" t="s">
        <v>81</v>
      </c>
      <c r="F46" s="9"/>
      <c r="G46" s="9"/>
      <c r="H46" s="9"/>
      <c r="I46" s="9"/>
      <c r="J46" s="9"/>
      <c r="K46" s="9"/>
      <c r="L46" s="9"/>
      <c r="M46" s="9"/>
      <c r="N46" s="9"/>
      <c r="O46" s="9"/>
      <c r="P46" s="9"/>
      <c r="Q46" s="9"/>
      <c r="R46" s="9"/>
      <c r="S46" s="9"/>
      <c r="T46" s="9"/>
      <c r="U46" s="9"/>
      <c r="V46" s="9"/>
      <c r="W46" s="9"/>
      <c r="X46" s="9"/>
      <c r="Y46" s="9"/>
      <c r="Z46" s="9"/>
    </row>
    <row r="47" ht="96.0" customHeight="1">
      <c r="A47" s="27" t="s">
        <v>137</v>
      </c>
      <c r="B47" s="27" t="s">
        <v>138</v>
      </c>
      <c r="C47" s="64"/>
      <c r="D47" s="3"/>
      <c r="E47" s="48" t="s">
        <v>139</v>
      </c>
      <c r="F47" s="9"/>
      <c r="G47" s="9"/>
      <c r="H47" s="9"/>
      <c r="I47" s="9"/>
      <c r="J47" s="9"/>
      <c r="K47" s="9"/>
      <c r="L47" s="9"/>
      <c r="M47" s="9"/>
      <c r="N47" s="9"/>
      <c r="O47" s="9"/>
      <c r="P47" s="9"/>
      <c r="Q47" s="9"/>
      <c r="R47" s="9"/>
      <c r="S47" s="9"/>
      <c r="T47" s="9"/>
      <c r="U47" s="9"/>
      <c r="V47" s="9"/>
      <c r="W47" s="9"/>
      <c r="X47" s="9"/>
      <c r="Y47" s="9"/>
      <c r="Z47" s="9"/>
    </row>
    <row r="48" ht="79.5" customHeight="1">
      <c r="A48" s="27" t="s">
        <v>140</v>
      </c>
      <c r="B48" s="27" t="s">
        <v>141</v>
      </c>
      <c r="C48" s="64"/>
      <c r="D48" s="3"/>
      <c r="E48" s="48" t="s">
        <v>142</v>
      </c>
      <c r="F48" s="9"/>
      <c r="G48" s="9"/>
      <c r="H48" s="9"/>
      <c r="I48" s="9"/>
      <c r="J48" s="9"/>
      <c r="K48" s="9"/>
      <c r="L48" s="9"/>
      <c r="M48" s="9"/>
      <c r="N48" s="9"/>
      <c r="O48" s="9"/>
      <c r="P48" s="9"/>
      <c r="Q48" s="9"/>
      <c r="R48" s="9"/>
      <c r="S48" s="9"/>
      <c r="T48" s="9"/>
      <c r="U48" s="9"/>
      <c r="V48" s="9"/>
      <c r="W48" s="9"/>
      <c r="X48" s="9"/>
      <c r="Y48" s="9"/>
      <c r="Z48" s="9"/>
    </row>
    <row r="49" ht="79.5" customHeight="1">
      <c r="A49" s="27" t="s">
        <v>143</v>
      </c>
      <c r="B49" s="27" t="s">
        <v>144</v>
      </c>
      <c r="C49" s="64"/>
      <c r="D49" s="3"/>
      <c r="E49" s="48" t="s">
        <v>145</v>
      </c>
      <c r="F49" s="9"/>
      <c r="G49" s="9"/>
      <c r="H49" s="9"/>
      <c r="I49" s="9"/>
      <c r="J49" s="9"/>
      <c r="K49" s="9"/>
      <c r="L49" s="9"/>
      <c r="M49" s="9"/>
      <c r="N49" s="9"/>
      <c r="O49" s="9"/>
      <c r="P49" s="9"/>
      <c r="Q49" s="9"/>
      <c r="R49" s="9"/>
      <c r="S49" s="9"/>
      <c r="T49" s="9"/>
      <c r="U49" s="9"/>
      <c r="V49" s="9"/>
      <c r="W49" s="9"/>
      <c r="X49" s="9"/>
      <c r="Y49" s="9"/>
      <c r="Z49" s="9"/>
    </row>
    <row r="50" ht="79.5" customHeight="1">
      <c r="A50" s="27" t="s">
        <v>146</v>
      </c>
      <c r="B50" s="27" t="s">
        <v>147</v>
      </c>
      <c r="C50" s="64"/>
      <c r="D50" s="3"/>
      <c r="E50" s="48" t="s">
        <v>148</v>
      </c>
      <c r="F50" s="9"/>
      <c r="G50" s="9"/>
      <c r="H50" s="9"/>
      <c r="I50" s="9"/>
      <c r="J50" s="9"/>
      <c r="K50" s="9"/>
      <c r="L50" s="9"/>
      <c r="M50" s="9"/>
      <c r="N50" s="9"/>
      <c r="O50" s="9"/>
      <c r="P50" s="9"/>
      <c r="Q50" s="9"/>
      <c r="R50" s="9"/>
      <c r="S50" s="9"/>
      <c r="T50" s="9"/>
      <c r="U50" s="9"/>
      <c r="V50" s="9"/>
      <c r="W50" s="9"/>
      <c r="X50" s="9"/>
      <c r="Y50" s="9"/>
      <c r="Z50" s="9"/>
    </row>
    <row r="51" ht="36.0" customHeight="1">
      <c r="A51" s="18" t="str">
        <f>IF($C$30="","Consulting",IF($C$30="Yes","Consulting - All questions after this section are OPTIONAL.","Consulting - Optional based on QUALIFIER response."))</f>
        <v>Consulting - Optional based on QUALIFIER response.</v>
      </c>
      <c r="B51" s="3"/>
      <c r="C51" s="20" t="s">
        <v>79</v>
      </c>
      <c r="D51" s="20" t="s">
        <v>80</v>
      </c>
      <c r="E51" s="45" t="s">
        <v>81</v>
      </c>
      <c r="F51" s="9"/>
      <c r="G51" s="9"/>
      <c r="H51" s="9"/>
      <c r="I51" s="9"/>
      <c r="J51" s="9"/>
      <c r="K51" s="9"/>
      <c r="L51" s="9"/>
      <c r="M51" s="9"/>
      <c r="N51" s="9"/>
      <c r="O51" s="9"/>
      <c r="P51" s="9"/>
      <c r="Q51" s="9"/>
      <c r="R51" s="9"/>
      <c r="S51" s="9"/>
      <c r="T51" s="9"/>
      <c r="U51" s="9"/>
      <c r="V51" s="9"/>
      <c r="W51" s="9"/>
      <c r="X51" s="9"/>
      <c r="Y51" s="9"/>
      <c r="Z51" s="9"/>
    </row>
    <row r="52" ht="48.0" customHeight="1">
      <c r="A52" s="27" t="s">
        <v>149</v>
      </c>
      <c r="B52" s="27" t="s">
        <v>151</v>
      </c>
      <c r="C52" s="66"/>
      <c r="D52" s="68"/>
      <c r="E52" s="51" t="str">
        <f>IF(C52="","",IF(C52="Yes","Describe how physical access will be managed.",""))</f>
        <v/>
      </c>
      <c r="F52" s="9"/>
      <c r="G52" s="9"/>
      <c r="H52" s="9"/>
      <c r="I52" s="9"/>
      <c r="J52" s="9"/>
      <c r="K52" s="9"/>
      <c r="L52" s="9"/>
      <c r="M52" s="9"/>
      <c r="N52" s="9"/>
      <c r="O52" s="9"/>
      <c r="P52" s="9"/>
      <c r="Q52" s="9"/>
      <c r="R52" s="9"/>
      <c r="S52" s="9"/>
      <c r="T52" s="9"/>
      <c r="U52" s="9"/>
      <c r="V52" s="9"/>
      <c r="W52" s="9"/>
      <c r="X52" s="9"/>
      <c r="Y52" s="9"/>
      <c r="Z52" s="9"/>
    </row>
    <row r="53" ht="63.0" customHeight="1">
      <c r="A53" s="27" t="s">
        <v>158</v>
      </c>
      <c r="B53" s="27" t="s">
        <v>159</v>
      </c>
      <c r="C53" s="66"/>
      <c r="D53" s="68"/>
      <c r="E53" s="51" t="str">
        <f>IF(C53="","",IF(C53="Yes","Describe how institution's resources will be protected during this engagement.",""))</f>
        <v/>
      </c>
      <c r="F53" s="9"/>
      <c r="G53" s="9"/>
      <c r="H53" s="9"/>
      <c r="I53" s="9"/>
      <c r="J53" s="9"/>
      <c r="K53" s="9"/>
      <c r="L53" s="9"/>
      <c r="M53" s="9"/>
      <c r="N53" s="9"/>
      <c r="O53" s="9"/>
      <c r="P53" s="9"/>
      <c r="Q53" s="9"/>
      <c r="R53" s="9"/>
      <c r="S53" s="9"/>
      <c r="T53" s="9"/>
      <c r="U53" s="9"/>
      <c r="V53" s="9"/>
      <c r="W53" s="9"/>
      <c r="X53" s="9"/>
      <c r="Y53" s="9"/>
      <c r="Z53" s="9"/>
    </row>
    <row r="54" ht="63.0" customHeight="1">
      <c r="A54" s="27" t="s">
        <v>161</v>
      </c>
      <c r="B54" s="27" t="s">
        <v>162</v>
      </c>
      <c r="C54" s="66"/>
      <c r="D54" s="68"/>
      <c r="E54" s="51" t="str">
        <f>IF(C54="","",IF(C54="Yes","Summarize the need for physical access and what steps/agreements will be implemented to ensure physical security.",""))</f>
        <v/>
      </c>
      <c r="F54" s="9"/>
      <c r="G54" s="9"/>
      <c r="H54" s="9"/>
      <c r="I54" s="9"/>
      <c r="J54" s="9"/>
      <c r="K54" s="9"/>
      <c r="L54" s="9"/>
      <c r="M54" s="9"/>
      <c r="N54" s="9"/>
      <c r="O54" s="9"/>
      <c r="P54" s="9"/>
      <c r="Q54" s="9"/>
      <c r="R54" s="9"/>
      <c r="S54" s="9"/>
      <c r="T54" s="9"/>
      <c r="U54" s="9"/>
      <c r="V54" s="9"/>
      <c r="W54" s="9"/>
      <c r="X54" s="9"/>
      <c r="Y54" s="9"/>
      <c r="Z54" s="9"/>
    </row>
    <row r="55" ht="48.0" customHeight="1">
      <c r="A55" s="27" t="s">
        <v>167</v>
      </c>
      <c r="B55" s="27" t="s">
        <v>168</v>
      </c>
      <c r="C55" s="66"/>
      <c r="D55" s="76"/>
      <c r="E55" s="51" t="str">
        <f>IF(C55="","",IF(C55="Yes","Summarize the need for an account within the Institution's domain.",""))</f>
        <v/>
      </c>
      <c r="F55" s="9"/>
      <c r="G55" s="9"/>
      <c r="H55" s="9"/>
      <c r="I55" s="9"/>
      <c r="J55" s="9"/>
      <c r="K55" s="9"/>
      <c r="L55" s="9"/>
      <c r="M55" s="9"/>
      <c r="N55" s="9"/>
      <c r="O55" s="9"/>
      <c r="P55" s="9"/>
      <c r="Q55" s="9"/>
      <c r="R55" s="9"/>
      <c r="S55" s="9"/>
      <c r="T55" s="9"/>
      <c r="U55" s="9"/>
      <c r="V55" s="9"/>
      <c r="W55" s="9"/>
      <c r="X55" s="9"/>
      <c r="Y55" s="9"/>
      <c r="Z55" s="9"/>
    </row>
    <row r="56" ht="48.0" customHeight="1">
      <c r="A56" s="27" t="s">
        <v>171</v>
      </c>
      <c r="B56" s="27" t="s">
        <v>172</v>
      </c>
      <c r="C56" s="66"/>
      <c r="D56" s="76"/>
      <c r="E56" s="51" t="str">
        <f>IF(C56="","",IF(C56="Yes","State the name of  the training received and the most currently training date for each training.",""))</f>
        <v/>
      </c>
      <c r="F56" s="9"/>
      <c r="G56" s="9"/>
      <c r="H56" s="9"/>
      <c r="I56" s="9"/>
      <c r="J56" s="9"/>
      <c r="K56" s="9"/>
      <c r="L56" s="9"/>
      <c r="M56" s="9"/>
      <c r="N56" s="9"/>
      <c r="O56" s="9"/>
      <c r="P56" s="9"/>
      <c r="Q56" s="9"/>
      <c r="R56" s="9"/>
      <c r="S56" s="9"/>
      <c r="T56" s="9"/>
      <c r="U56" s="9"/>
      <c r="V56" s="9"/>
      <c r="W56" s="9"/>
      <c r="X56" s="9"/>
      <c r="Y56" s="9"/>
      <c r="Z56" s="9"/>
    </row>
    <row r="57" ht="48.0" customHeight="1">
      <c r="A57" s="27" t="s">
        <v>178</v>
      </c>
      <c r="B57" s="27" t="s">
        <v>179</v>
      </c>
      <c r="C57" s="66"/>
      <c r="D57" s="76"/>
      <c r="E57" s="51" t="str">
        <f>IF(C57="","",IF(C57="Yes","State how long the data will remain in their possession and state how the data will be protected.",""))</f>
        <v/>
      </c>
      <c r="F57" s="9"/>
      <c r="G57" s="9"/>
      <c r="H57" s="9"/>
      <c r="I57" s="9"/>
      <c r="J57" s="9"/>
      <c r="K57" s="9"/>
      <c r="L57" s="9"/>
      <c r="M57" s="9"/>
      <c r="N57" s="9"/>
      <c r="O57" s="9"/>
      <c r="P57" s="9"/>
      <c r="Q57" s="9"/>
      <c r="R57" s="9"/>
      <c r="S57" s="9"/>
      <c r="T57" s="9"/>
      <c r="U57" s="9"/>
      <c r="V57" s="9"/>
      <c r="W57" s="9"/>
      <c r="X57" s="9"/>
      <c r="Y57" s="9"/>
      <c r="Z57" s="9"/>
    </row>
    <row r="58" ht="48.0" customHeight="1">
      <c r="A58" s="27" t="s">
        <v>183</v>
      </c>
      <c r="B58" s="27" t="s">
        <v>185</v>
      </c>
      <c r="C58" s="78"/>
      <c r="D58" s="76"/>
      <c r="E58" s="51" t="str">
        <f>IF(C58="","",IF(C58="Yes","Describe how encryption is implemented.","Describe the implemented compensating controls  to safeguard data."))</f>
        <v/>
      </c>
      <c r="F58" s="79"/>
      <c r="G58" s="79"/>
      <c r="H58" s="79"/>
      <c r="I58" s="79"/>
      <c r="J58" s="79"/>
      <c r="K58" s="79"/>
      <c r="L58" s="79"/>
      <c r="M58" s="79"/>
      <c r="N58" s="79"/>
      <c r="O58" s="79"/>
      <c r="P58" s="79"/>
      <c r="Q58" s="79"/>
      <c r="R58" s="79"/>
      <c r="S58" s="79"/>
      <c r="T58" s="79"/>
      <c r="U58" s="79"/>
      <c r="V58" s="79"/>
      <c r="W58" s="79"/>
      <c r="X58" s="79"/>
      <c r="Y58" s="79"/>
      <c r="Z58" s="80"/>
    </row>
    <row r="59" ht="48.0" customHeight="1">
      <c r="A59" s="27" t="s">
        <v>186</v>
      </c>
      <c r="B59" s="27" t="s">
        <v>187</v>
      </c>
      <c r="C59" s="66"/>
      <c r="D59" s="76"/>
      <c r="E59" s="51" t="str">
        <f>IF(C59="","",IF(C59="Yes","Describe the tools and technical controls implemented to secure remote access.",""))</f>
        <v/>
      </c>
      <c r="F59" s="9"/>
      <c r="G59" s="9"/>
      <c r="H59" s="9"/>
      <c r="I59" s="9"/>
      <c r="J59" s="9"/>
      <c r="K59" s="9"/>
      <c r="L59" s="9"/>
      <c r="M59" s="9"/>
      <c r="N59" s="9"/>
      <c r="O59" s="9"/>
      <c r="P59" s="9"/>
      <c r="Q59" s="9"/>
      <c r="R59" s="9"/>
      <c r="S59" s="9"/>
      <c r="T59" s="9"/>
      <c r="U59" s="9"/>
      <c r="V59" s="9"/>
      <c r="W59" s="9"/>
      <c r="X59" s="9"/>
      <c r="Y59" s="9"/>
      <c r="Z59" s="9"/>
    </row>
    <row r="60" ht="48.0" customHeight="1">
      <c r="A60" s="27" t="s">
        <v>191</v>
      </c>
      <c r="B60" s="27" t="s">
        <v>192</v>
      </c>
      <c r="C60" s="66"/>
      <c r="D60" s="76"/>
      <c r="E60" s="51" t="str">
        <f>IF(C60="","",IF(C60="Yes","State any limitations to this restriction.",IF(C60="No","State potential restriction capabilities.","No remote access necessary.")))</f>
        <v/>
      </c>
      <c r="F60" s="79"/>
      <c r="G60" s="79"/>
      <c r="H60" s="79"/>
      <c r="I60" s="79"/>
      <c r="J60" s="79"/>
      <c r="K60" s="79"/>
      <c r="L60" s="79"/>
      <c r="M60" s="79"/>
      <c r="N60" s="79"/>
      <c r="O60" s="79"/>
      <c r="P60" s="79"/>
      <c r="Q60" s="79"/>
      <c r="R60" s="79"/>
      <c r="S60" s="79"/>
      <c r="T60" s="79"/>
      <c r="U60" s="79"/>
      <c r="V60" s="79"/>
      <c r="W60" s="79"/>
      <c r="X60" s="79"/>
      <c r="Y60" s="79"/>
      <c r="Z60" s="80"/>
    </row>
    <row r="61" ht="36.0" customHeight="1">
      <c r="A61" s="18" t="str">
        <f>IF($C$30="","Application/Service Security",IF($C$30="Yes","App/Service Security - Optional based on QUALIFIER response.","Application/Service Security"))</f>
        <v>Application/Service Security</v>
      </c>
      <c r="B61" s="3"/>
      <c r="C61" s="20" t="s">
        <v>79</v>
      </c>
      <c r="D61" s="20" t="s">
        <v>80</v>
      </c>
      <c r="E61" s="45" t="s">
        <v>81</v>
      </c>
      <c r="F61" s="9"/>
      <c r="G61" s="9"/>
      <c r="H61" s="9"/>
      <c r="I61" s="9"/>
      <c r="J61" s="9"/>
      <c r="K61" s="9"/>
      <c r="L61" s="9"/>
      <c r="M61" s="9"/>
      <c r="N61" s="9"/>
      <c r="O61" s="9"/>
      <c r="P61" s="9"/>
      <c r="Q61" s="9"/>
      <c r="R61" s="9"/>
      <c r="S61" s="9"/>
      <c r="T61" s="9"/>
      <c r="U61" s="9"/>
      <c r="V61" s="9"/>
      <c r="W61" s="9"/>
      <c r="X61" s="9"/>
      <c r="Y61" s="9"/>
      <c r="Z61" s="9"/>
    </row>
    <row r="62" ht="48.75" customHeight="1">
      <c r="A62" s="27" t="s">
        <v>196</v>
      </c>
      <c r="B62" s="81" t="s">
        <v>197</v>
      </c>
      <c r="C62" s="57" t="s">
        <v>85</v>
      </c>
      <c r="D62" s="49"/>
      <c r="E62" s="48" t="str">
        <f>IF(C62="","",IF(C62="Yes","Describe any infrastructure dependencies.","Describe any limitations that prevent virtualization."))</f>
        <v>Describe any limitations that prevent virtualization.</v>
      </c>
      <c r="F62" s="9"/>
      <c r="G62" s="9"/>
      <c r="H62" s="9"/>
      <c r="I62" s="9"/>
      <c r="J62" s="9"/>
      <c r="K62" s="9"/>
      <c r="L62" s="9"/>
      <c r="M62" s="9"/>
      <c r="N62" s="9"/>
      <c r="O62" s="9"/>
      <c r="P62" s="9"/>
      <c r="Q62" s="9"/>
      <c r="R62" s="9"/>
      <c r="S62" s="9"/>
      <c r="T62" s="9"/>
      <c r="U62" s="9"/>
      <c r="V62" s="9"/>
      <c r="W62" s="9"/>
      <c r="X62" s="9"/>
      <c r="Y62" s="9"/>
      <c r="Z62" s="9"/>
    </row>
    <row r="63" ht="48.0" customHeight="1">
      <c r="A63" s="27" t="s">
        <v>198</v>
      </c>
      <c r="B63" s="81" t="s">
        <v>199</v>
      </c>
      <c r="C63" s="57" t="s">
        <v>92</v>
      </c>
      <c r="D63" s="58"/>
      <c r="E63" s="48" t="str">
        <f>IF(C63="","",IF(C63="Yes","Describe the utilized technology.","Describe any plans to virtualize your environment hosting Institution data."))</f>
        <v>Describe the utilized technology.</v>
      </c>
      <c r="F63" s="9"/>
      <c r="G63" s="9"/>
      <c r="H63" s="9"/>
      <c r="I63" s="9"/>
      <c r="J63" s="9"/>
      <c r="K63" s="9"/>
      <c r="L63" s="9"/>
      <c r="M63" s="9"/>
      <c r="N63" s="9"/>
      <c r="O63" s="9"/>
      <c r="P63" s="9"/>
      <c r="Q63" s="9"/>
      <c r="R63" s="9"/>
      <c r="S63" s="9"/>
      <c r="T63" s="9"/>
      <c r="U63" s="9"/>
      <c r="V63" s="9"/>
      <c r="W63" s="9"/>
      <c r="X63" s="9"/>
      <c r="Y63" s="9"/>
      <c r="Z63" s="9"/>
    </row>
    <row r="64" ht="48.0" customHeight="1">
      <c r="A64" s="27" t="s">
        <v>201</v>
      </c>
      <c r="B64" s="81" t="s">
        <v>202</v>
      </c>
      <c r="C64" s="57" t="s">
        <v>85</v>
      </c>
      <c r="D64" s="49"/>
      <c r="E64" s="48" t="str">
        <f>IF(C64="","",IF(C64="Yes","If available, submit documentation and/or web resources.","Provide details that prevent this capability."))</f>
        <v>Provide details that prevent this capability.</v>
      </c>
      <c r="F64" s="9"/>
      <c r="G64" s="9"/>
      <c r="H64" s="9"/>
      <c r="I64" s="9"/>
      <c r="J64" s="9"/>
      <c r="K64" s="9"/>
      <c r="L64" s="9"/>
      <c r="M64" s="9"/>
      <c r="N64" s="9"/>
      <c r="O64" s="9"/>
      <c r="P64" s="9"/>
      <c r="Q64" s="9"/>
      <c r="R64" s="9"/>
      <c r="S64" s="9"/>
      <c r="T64" s="9"/>
      <c r="U64" s="9"/>
      <c r="V64" s="9"/>
      <c r="W64" s="9"/>
      <c r="X64" s="9"/>
      <c r="Y64" s="9"/>
      <c r="Z64" s="9"/>
    </row>
    <row r="65" ht="79.5" customHeight="1">
      <c r="A65" s="27" t="s">
        <v>204</v>
      </c>
      <c r="B65" s="81" t="s">
        <v>205</v>
      </c>
      <c r="C65" s="57" t="s">
        <v>92</v>
      </c>
      <c r="D65" s="83" t="s">
        <v>207</v>
      </c>
      <c r="E65" s="48" t="str">
        <f>IF(C65="","",IF(C65="Yes","Provide a reference to the requested documents or provide them when submitting this fully-populated HECVAT.","State any plans to provide system and/or application architecture diagrams."))</f>
        <v>Provide a reference to the requested documents or provide them when submitting this fully-populated HECVAT.</v>
      </c>
      <c r="F65" s="9"/>
      <c r="G65" s="9"/>
      <c r="H65" s="9"/>
      <c r="I65" s="9"/>
      <c r="J65" s="9"/>
      <c r="K65" s="9"/>
      <c r="L65" s="9"/>
      <c r="M65" s="9"/>
      <c r="N65" s="9"/>
      <c r="O65" s="9"/>
      <c r="P65" s="9"/>
      <c r="Q65" s="9"/>
      <c r="R65" s="9"/>
      <c r="S65" s="9"/>
      <c r="T65" s="9"/>
      <c r="U65" s="9"/>
      <c r="V65" s="9"/>
      <c r="W65" s="9"/>
      <c r="X65" s="9"/>
      <c r="Y65" s="9"/>
      <c r="Z65" s="9"/>
    </row>
    <row r="66" ht="63.0" customHeight="1">
      <c r="A66" s="27" t="s">
        <v>209</v>
      </c>
      <c r="B66" s="81" t="s">
        <v>210</v>
      </c>
      <c r="C66" s="46" t="s">
        <v>92</v>
      </c>
      <c r="D66" s="84"/>
      <c r="E66" s="48" t="str">
        <f>IF(C66="","",IF(C66="Yes","Provide a reference to documentation of your data input validation and error messaging capabilities.","State plans to implement data input validation and error messaging across all components of your system."))</f>
        <v>Provide a reference to documentation of your data input validation and error messaging capabilities.</v>
      </c>
      <c r="F66" s="9"/>
      <c r="G66" s="9"/>
      <c r="H66" s="9"/>
      <c r="I66" s="9"/>
      <c r="J66" s="9"/>
      <c r="K66" s="9"/>
      <c r="L66" s="9"/>
      <c r="M66" s="9"/>
      <c r="N66" s="9"/>
      <c r="O66" s="9"/>
      <c r="P66" s="9"/>
      <c r="Q66" s="9"/>
      <c r="R66" s="9"/>
      <c r="S66" s="9"/>
      <c r="T66" s="9"/>
      <c r="U66" s="9"/>
      <c r="V66" s="9"/>
      <c r="W66" s="9"/>
      <c r="X66" s="9"/>
      <c r="Y66" s="9"/>
      <c r="Z66" s="9"/>
    </row>
    <row r="67" ht="48.0" customHeight="1">
      <c r="A67" s="27" t="s">
        <v>215</v>
      </c>
      <c r="B67" s="81" t="s">
        <v>216</v>
      </c>
      <c r="C67" s="46" t="s">
        <v>92</v>
      </c>
      <c r="D67" s="85"/>
      <c r="E67" s="48" t="str">
        <f>IF(C67="","",IF(C67="Yes","Describe your single-tenant strategy.",""))</f>
        <v>Describe your single-tenant strategy.</v>
      </c>
      <c r="F67" s="9"/>
      <c r="G67" s="9"/>
      <c r="H67" s="9"/>
      <c r="I67" s="9"/>
      <c r="J67" s="9"/>
      <c r="K67" s="9"/>
      <c r="L67" s="9"/>
      <c r="M67" s="9"/>
      <c r="N67" s="9"/>
      <c r="O67" s="9"/>
      <c r="P67" s="9"/>
      <c r="Q67" s="9"/>
      <c r="R67" s="9"/>
      <c r="S67" s="9"/>
      <c r="T67" s="9"/>
      <c r="U67" s="9"/>
      <c r="V67" s="9"/>
      <c r="W67" s="9"/>
      <c r="X67" s="9"/>
      <c r="Y67" s="9"/>
      <c r="Z67" s="9"/>
    </row>
    <row r="68" ht="79.5" customHeight="1">
      <c r="A68" s="27" t="s">
        <v>219</v>
      </c>
      <c r="B68" s="81" t="s">
        <v>220</v>
      </c>
      <c r="C68" s="86" t="s">
        <v>221</v>
      </c>
      <c r="D68" s="3"/>
      <c r="E68" s="87" t="s">
        <v>222</v>
      </c>
      <c r="F68" s="79"/>
      <c r="G68" s="79"/>
      <c r="H68" s="79"/>
      <c r="I68" s="79"/>
      <c r="J68" s="79"/>
      <c r="K68" s="79"/>
      <c r="L68" s="79"/>
      <c r="M68" s="79"/>
      <c r="N68" s="79"/>
      <c r="O68" s="79"/>
      <c r="P68" s="79"/>
      <c r="Q68" s="79"/>
      <c r="R68" s="79"/>
      <c r="S68" s="79"/>
      <c r="T68" s="79"/>
      <c r="U68" s="79"/>
      <c r="V68" s="79"/>
      <c r="W68" s="79"/>
      <c r="X68" s="79"/>
      <c r="Y68" s="79"/>
      <c r="Z68" s="80"/>
    </row>
    <row r="69" ht="72.0" customHeight="1">
      <c r="A69" s="27" t="s">
        <v>223</v>
      </c>
      <c r="B69" s="27" t="s">
        <v>224</v>
      </c>
      <c r="C69" s="46" t="s">
        <v>85</v>
      </c>
      <c r="D69" s="76"/>
      <c r="E69" s="48" t="str">
        <f>IF(C69="","",IF(C69="Yes","Describe the conditions of this breach and how was the investigation and response was managed in conjunction with the customer.",""))</f>
        <v/>
      </c>
      <c r="F69" s="9"/>
      <c r="G69" s="9"/>
      <c r="H69" s="9"/>
      <c r="I69" s="9"/>
      <c r="J69" s="9"/>
      <c r="K69" s="9"/>
      <c r="L69" s="9"/>
      <c r="M69" s="9"/>
      <c r="N69" s="9"/>
      <c r="O69" s="9"/>
      <c r="P69" s="9"/>
      <c r="Q69" s="9"/>
      <c r="R69" s="9"/>
      <c r="S69" s="9"/>
      <c r="T69" s="9"/>
      <c r="U69" s="9"/>
      <c r="V69" s="9"/>
      <c r="W69" s="9"/>
      <c r="X69" s="9"/>
      <c r="Y69" s="9"/>
      <c r="Z69" s="9"/>
    </row>
    <row r="70" ht="63.75" customHeight="1">
      <c r="A70" s="27" t="s">
        <v>230</v>
      </c>
      <c r="B70" s="81" t="s">
        <v>231</v>
      </c>
      <c r="C70" s="88" t="s">
        <v>232</v>
      </c>
      <c r="D70" s="3"/>
      <c r="E70" s="87" t="s">
        <v>235</v>
      </c>
      <c r="F70" s="9"/>
      <c r="G70" s="9"/>
      <c r="H70" s="9"/>
      <c r="I70" s="9"/>
      <c r="J70" s="9"/>
      <c r="K70" s="9"/>
      <c r="L70" s="9"/>
      <c r="M70" s="9"/>
      <c r="N70" s="9"/>
      <c r="O70" s="9"/>
      <c r="P70" s="9"/>
      <c r="Q70" s="9"/>
      <c r="R70" s="9"/>
      <c r="S70" s="9"/>
      <c r="T70" s="9"/>
      <c r="U70" s="9"/>
      <c r="V70" s="9"/>
      <c r="W70" s="9"/>
      <c r="X70" s="9"/>
      <c r="Y70" s="9"/>
      <c r="Z70" s="9"/>
    </row>
    <row r="71" ht="63.75" customHeight="1">
      <c r="A71" s="27" t="s">
        <v>238</v>
      </c>
      <c r="B71" s="81" t="s">
        <v>239</v>
      </c>
      <c r="C71" s="86" t="s">
        <v>207</v>
      </c>
      <c r="D71" s="3"/>
      <c r="E71" s="48" t="s">
        <v>240</v>
      </c>
      <c r="F71" s="9"/>
      <c r="G71" s="9"/>
      <c r="H71" s="9"/>
      <c r="I71" s="9"/>
      <c r="J71" s="9"/>
      <c r="K71" s="9"/>
      <c r="L71" s="9"/>
      <c r="M71" s="9"/>
      <c r="N71" s="9"/>
      <c r="O71" s="9"/>
      <c r="P71" s="9"/>
      <c r="Q71" s="9"/>
      <c r="R71" s="9"/>
      <c r="S71" s="9"/>
      <c r="T71" s="9"/>
      <c r="U71" s="9"/>
      <c r="V71" s="9"/>
      <c r="W71" s="9"/>
      <c r="X71" s="9"/>
      <c r="Y71" s="9"/>
      <c r="Z71" s="9"/>
    </row>
    <row r="72" ht="48.0" customHeight="1">
      <c r="A72" s="27" t="s">
        <v>241</v>
      </c>
      <c r="B72" s="81" t="s">
        <v>242</v>
      </c>
      <c r="C72" s="46" t="s">
        <v>92</v>
      </c>
      <c r="D72" s="89" t="s">
        <v>243</v>
      </c>
      <c r="E72" s="48" t="str">
        <f>IF(C72="","",IF(C72="Yes","Provide a brief description.","Provide a detailed description of the database and front-end system relationship."))</f>
        <v>Provide a brief description.</v>
      </c>
      <c r="F72" s="9"/>
      <c r="G72" s="9"/>
      <c r="H72" s="9"/>
      <c r="I72" s="9"/>
      <c r="J72" s="9"/>
      <c r="K72" s="9"/>
      <c r="L72" s="9"/>
      <c r="M72" s="9"/>
      <c r="N72" s="9"/>
      <c r="O72" s="9"/>
      <c r="P72" s="9"/>
      <c r="Q72" s="9"/>
      <c r="R72" s="9"/>
      <c r="S72" s="9"/>
      <c r="T72" s="9"/>
      <c r="U72" s="9"/>
      <c r="V72" s="9"/>
      <c r="W72" s="9"/>
      <c r="X72" s="9"/>
      <c r="Y72" s="9"/>
      <c r="Z72" s="9"/>
    </row>
    <row r="73" ht="64.5" customHeight="1">
      <c r="A73" s="27" t="s">
        <v>244</v>
      </c>
      <c r="B73" s="81" t="s">
        <v>245</v>
      </c>
      <c r="C73" s="88" t="s">
        <v>246</v>
      </c>
      <c r="D73" s="3"/>
      <c r="E73" s="48" t="s">
        <v>247</v>
      </c>
      <c r="F73" s="9"/>
      <c r="G73" s="9"/>
      <c r="H73" s="9"/>
      <c r="I73" s="9"/>
      <c r="J73" s="9"/>
      <c r="K73" s="9"/>
      <c r="L73" s="9"/>
      <c r="M73" s="9"/>
      <c r="N73" s="9"/>
      <c r="O73" s="9"/>
      <c r="P73" s="9"/>
      <c r="Q73" s="9"/>
      <c r="R73" s="9"/>
      <c r="S73" s="9"/>
      <c r="T73" s="9"/>
      <c r="U73" s="9"/>
      <c r="V73" s="9"/>
      <c r="W73" s="9"/>
      <c r="X73" s="9"/>
      <c r="Y73" s="9"/>
      <c r="Z73" s="9"/>
    </row>
    <row r="74" ht="64.5" customHeight="1">
      <c r="A74" s="27" t="s">
        <v>248</v>
      </c>
      <c r="B74" s="81" t="s">
        <v>249</v>
      </c>
      <c r="C74" s="46" t="s">
        <v>250</v>
      </c>
      <c r="D74" s="76"/>
      <c r="E74" s="48" t="str">
        <f>IF(C74="","",IF(C74="Yes","Describe all OS and web-browser combonations that are not currently supported.",""))</f>
        <v/>
      </c>
      <c r="F74" s="9"/>
      <c r="G74" s="9"/>
      <c r="H74" s="9"/>
      <c r="I74" s="9"/>
      <c r="J74" s="9"/>
      <c r="K74" s="9"/>
      <c r="L74" s="9"/>
      <c r="M74" s="9"/>
      <c r="N74" s="9"/>
      <c r="O74" s="9"/>
      <c r="P74" s="9"/>
      <c r="Q74" s="9"/>
      <c r="R74" s="9"/>
      <c r="S74" s="9"/>
      <c r="T74" s="9"/>
      <c r="U74" s="9"/>
      <c r="V74" s="9"/>
      <c r="W74" s="9"/>
      <c r="X74" s="9"/>
      <c r="Y74" s="9"/>
      <c r="Z74" s="9"/>
    </row>
    <row r="75" ht="63.0" customHeight="1">
      <c r="A75" s="27" t="s">
        <v>251</v>
      </c>
      <c r="B75" s="81" t="s">
        <v>252</v>
      </c>
      <c r="C75" s="46" t="s">
        <v>92</v>
      </c>
      <c r="D75" s="89" t="s">
        <v>253</v>
      </c>
      <c r="E75" s="48" t="str">
        <f>IF(C75="","",IF(C75="Yes","Provide a detailed description of system capabilities and how location data is secured.",""))</f>
        <v>Provide a detailed description of system capabilities and how location data is secured.</v>
      </c>
      <c r="F75" s="9"/>
      <c r="G75" s="9"/>
      <c r="H75" s="9"/>
      <c r="I75" s="9"/>
      <c r="J75" s="9"/>
      <c r="K75" s="9"/>
      <c r="L75" s="9"/>
      <c r="M75" s="9"/>
      <c r="N75" s="9"/>
      <c r="O75" s="9"/>
      <c r="P75" s="9"/>
      <c r="Q75" s="9"/>
      <c r="R75" s="9"/>
      <c r="S75" s="9"/>
      <c r="T75" s="9"/>
      <c r="U75" s="9"/>
      <c r="V75" s="9"/>
      <c r="W75" s="9"/>
      <c r="X75" s="9"/>
      <c r="Y75" s="9"/>
      <c r="Z75" s="9"/>
    </row>
    <row r="76" ht="84.0" customHeight="1">
      <c r="A76" s="27" t="s">
        <v>257</v>
      </c>
      <c r="B76" s="81" t="s">
        <v>258</v>
      </c>
      <c r="C76" s="88" t="s">
        <v>259</v>
      </c>
      <c r="D76" s="3"/>
      <c r="E76" s="48" t="s">
        <v>260</v>
      </c>
      <c r="F76" s="9"/>
      <c r="G76" s="9"/>
      <c r="H76" s="9"/>
      <c r="I76" s="9"/>
      <c r="J76" s="9"/>
      <c r="K76" s="9"/>
      <c r="L76" s="9"/>
      <c r="M76" s="9"/>
      <c r="N76" s="9"/>
      <c r="O76" s="9"/>
      <c r="P76" s="9"/>
      <c r="Q76" s="9"/>
      <c r="R76" s="9"/>
      <c r="S76" s="9"/>
      <c r="T76" s="9"/>
      <c r="U76" s="9"/>
      <c r="V76" s="9"/>
      <c r="W76" s="9"/>
      <c r="X76" s="9"/>
      <c r="Y76" s="9"/>
      <c r="Z76" s="9"/>
    </row>
    <row r="77" ht="64.5" customHeight="1">
      <c r="A77" s="27" t="s">
        <v>261</v>
      </c>
      <c r="B77" s="81" t="s">
        <v>262</v>
      </c>
      <c r="C77" s="91" t="s">
        <v>263</v>
      </c>
      <c r="D77" s="92"/>
      <c r="E77" s="48" t="s">
        <v>273</v>
      </c>
      <c r="F77" s="9"/>
      <c r="G77" s="9"/>
      <c r="H77" s="9"/>
      <c r="I77" s="9"/>
      <c r="J77" s="9"/>
      <c r="K77" s="9"/>
      <c r="L77" s="9"/>
      <c r="M77" s="9"/>
      <c r="N77" s="9"/>
      <c r="O77" s="9"/>
      <c r="P77" s="9"/>
      <c r="Q77" s="9"/>
      <c r="R77" s="9"/>
      <c r="S77" s="9"/>
      <c r="T77" s="9"/>
      <c r="U77" s="9"/>
      <c r="V77" s="9"/>
      <c r="W77" s="9"/>
      <c r="X77" s="9"/>
      <c r="Y77" s="9"/>
      <c r="Z77" s="9"/>
    </row>
    <row r="78" ht="48.0" customHeight="1">
      <c r="A78" s="27" t="s">
        <v>278</v>
      </c>
      <c r="B78" s="81" t="s">
        <v>210</v>
      </c>
      <c r="C78" s="46" t="s">
        <v>92</v>
      </c>
      <c r="D78" s="76"/>
      <c r="E78" s="48" t="str">
        <f>IF(C78="","",IF(C78="Yes","Submit documentation and/or web resources of vendor's validation practices.","Decribe any plans to enable input validation and error management."))</f>
        <v>Submit documentation and/or web resources of vendor's validation practices.</v>
      </c>
      <c r="F78" s="9"/>
      <c r="G78" s="9"/>
      <c r="H78" s="9"/>
      <c r="I78" s="9"/>
      <c r="J78" s="9"/>
      <c r="K78" s="9"/>
      <c r="L78" s="9"/>
      <c r="M78" s="9"/>
      <c r="N78" s="9"/>
      <c r="O78" s="9"/>
      <c r="P78" s="9"/>
      <c r="Q78" s="9"/>
      <c r="R78" s="9"/>
      <c r="S78" s="9"/>
      <c r="T78" s="9"/>
      <c r="U78" s="9"/>
      <c r="V78" s="9"/>
      <c r="W78" s="9"/>
      <c r="X78" s="9"/>
      <c r="Y78" s="9"/>
      <c r="Z78" s="9"/>
    </row>
    <row r="79" ht="64.5" customHeight="1">
      <c r="A79" s="27" t="s">
        <v>282</v>
      </c>
      <c r="B79" s="81" t="s">
        <v>283</v>
      </c>
      <c r="C79" s="91" t="s">
        <v>284</v>
      </c>
      <c r="D79" s="92"/>
      <c r="E79" s="48" t="s">
        <v>285</v>
      </c>
      <c r="F79" s="9"/>
      <c r="G79" s="9"/>
      <c r="H79" s="9"/>
      <c r="I79" s="9"/>
      <c r="J79" s="9"/>
      <c r="K79" s="9"/>
      <c r="L79" s="9"/>
      <c r="M79" s="9"/>
      <c r="N79" s="9"/>
      <c r="O79" s="9"/>
      <c r="P79" s="9"/>
      <c r="Q79" s="9"/>
      <c r="R79" s="9"/>
      <c r="S79" s="9"/>
      <c r="T79" s="9"/>
      <c r="U79" s="9"/>
      <c r="V79" s="9"/>
      <c r="W79" s="9"/>
      <c r="X79" s="9"/>
      <c r="Y79" s="9"/>
      <c r="Z79" s="9"/>
    </row>
    <row r="80" ht="36.0" customHeight="1">
      <c r="A80" s="18" t="str">
        <f>IF($C$30="","Authentication, Authorization, and Accounting",IF($C$30="Yes","AAA - Optional based on QUALIFIER response.","Authentication, Authorization, and Accounting"))</f>
        <v>Authentication, Authorization, and Accounting</v>
      </c>
      <c r="B80" s="3"/>
      <c r="C80" s="20" t="s">
        <v>79</v>
      </c>
      <c r="D80" s="20" t="s">
        <v>80</v>
      </c>
      <c r="E80" s="45" t="s">
        <v>81</v>
      </c>
      <c r="F80" s="9"/>
      <c r="G80" s="9"/>
      <c r="H80" s="9"/>
      <c r="I80" s="9"/>
      <c r="J80" s="9"/>
      <c r="K80" s="9"/>
      <c r="L80" s="9"/>
      <c r="M80" s="9"/>
      <c r="N80" s="9"/>
      <c r="O80" s="9"/>
      <c r="P80" s="9"/>
      <c r="Q80" s="9"/>
      <c r="R80" s="9"/>
      <c r="S80" s="9"/>
      <c r="T80" s="9"/>
      <c r="U80" s="9"/>
      <c r="V80" s="9"/>
      <c r="W80" s="9"/>
      <c r="X80" s="9"/>
      <c r="Y80" s="9"/>
      <c r="Z80" s="9"/>
    </row>
    <row r="81" ht="48.0" customHeight="1">
      <c r="A81" s="27" t="s">
        <v>293</v>
      </c>
      <c r="B81" s="27" t="s">
        <v>294</v>
      </c>
      <c r="C81" s="46" t="s">
        <v>92</v>
      </c>
      <c r="D81" s="76"/>
      <c r="E81" s="51" t="str">
        <f>IF(C81="","",IF(C81="Yes","Describe how aging requirements are implemented in the product.","Describe plans to support password/passphrase aging requirements."))</f>
        <v>Describe how aging requirements are implemented in the product.</v>
      </c>
      <c r="F81" s="9"/>
      <c r="G81" s="9"/>
      <c r="H81" s="9"/>
      <c r="I81" s="9"/>
      <c r="J81" s="9"/>
      <c r="K81" s="9"/>
      <c r="L81" s="9"/>
      <c r="M81" s="9"/>
      <c r="N81" s="9"/>
      <c r="O81" s="9"/>
      <c r="P81" s="9"/>
      <c r="Q81" s="9"/>
      <c r="R81" s="9"/>
      <c r="S81" s="9"/>
      <c r="T81" s="9"/>
      <c r="U81" s="9"/>
      <c r="V81" s="9"/>
      <c r="W81" s="9"/>
      <c r="X81" s="9"/>
      <c r="Y81" s="9"/>
      <c r="Z81" s="9"/>
    </row>
    <row r="82" ht="48.0" customHeight="1">
      <c r="A82" s="27" t="s">
        <v>300</v>
      </c>
      <c r="B82" s="27" t="s">
        <v>301</v>
      </c>
      <c r="C82" s="46" t="s">
        <v>92</v>
      </c>
      <c r="D82" s="76"/>
      <c r="E82" s="51" t="str">
        <f>IF(C82="","",IF(C82="Yes","Describe how password/passphrase complexity requirements are implemented in the product.","Describe plans to support password/passphrase complexity requirements."))</f>
        <v>Describe how password/passphrase complexity requirements are implemented in the product.</v>
      </c>
      <c r="F82" s="9"/>
      <c r="G82" s="9"/>
      <c r="H82" s="9"/>
      <c r="I82" s="9"/>
      <c r="J82" s="9"/>
      <c r="K82" s="9"/>
      <c r="L82" s="9"/>
      <c r="M82" s="9"/>
      <c r="N82" s="9"/>
      <c r="O82" s="9"/>
      <c r="P82" s="9"/>
      <c r="Q82" s="9"/>
      <c r="R82" s="9"/>
      <c r="S82" s="9"/>
      <c r="T82" s="9"/>
      <c r="U82" s="9"/>
      <c r="V82" s="9"/>
      <c r="W82" s="9"/>
      <c r="X82" s="9"/>
      <c r="Y82" s="9"/>
      <c r="Z82" s="9"/>
    </row>
    <row r="83" ht="48.0" customHeight="1">
      <c r="A83" s="27" t="s">
        <v>307</v>
      </c>
      <c r="B83" s="27" t="s">
        <v>308</v>
      </c>
      <c r="C83" s="91" t="s">
        <v>309</v>
      </c>
      <c r="D83" s="58"/>
      <c r="E83" s="51" t="str">
        <f>IF(C83="","",IF(C83="Yes","Describe these limitations and/or restrictions and state what lengths and complexities are supported.",""))</f>
        <v/>
      </c>
      <c r="F83" s="9"/>
      <c r="G83" s="9"/>
      <c r="H83" s="9"/>
      <c r="I83" s="9"/>
      <c r="J83" s="9"/>
      <c r="K83" s="9"/>
      <c r="L83" s="9"/>
      <c r="M83" s="9"/>
      <c r="N83" s="9"/>
      <c r="O83" s="9"/>
      <c r="P83" s="9"/>
      <c r="Q83" s="9"/>
      <c r="R83" s="9"/>
      <c r="S83" s="9"/>
      <c r="T83" s="9"/>
      <c r="U83" s="9"/>
      <c r="V83" s="9"/>
      <c r="W83" s="9"/>
      <c r="X83" s="9"/>
      <c r="Y83" s="9"/>
      <c r="Z83" s="9"/>
    </row>
    <row r="84" ht="64.5" customHeight="1">
      <c r="A84" s="27" t="s">
        <v>310</v>
      </c>
      <c r="B84" s="27" t="s">
        <v>311</v>
      </c>
      <c r="C84" s="91" t="s">
        <v>312</v>
      </c>
      <c r="D84" s="58"/>
      <c r="E84" s="51" t="str">
        <f>IF(C84="","",IF(C84="Yes","Describe your documented password/passphrase reset procedures that are currently implemented in the system and/or customer support.","Describe your plans to document system password/passphrase reset procedures."))</f>
        <v>Describe your plans to document system password/passphrase reset procedures.</v>
      </c>
      <c r="F84" s="9"/>
      <c r="G84" s="9"/>
      <c r="H84" s="9"/>
      <c r="I84" s="9"/>
      <c r="J84" s="9"/>
      <c r="K84" s="9"/>
      <c r="L84" s="9"/>
      <c r="M84" s="9"/>
      <c r="N84" s="9"/>
      <c r="O84" s="9"/>
      <c r="P84" s="9"/>
      <c r="Q84" s="9"/>
      <c r="R84" s="9"/>
      <c r="S84" s="9"/>
      <c r="T84" s="9"/>
      <c r="U84" s="9"/>
      <c r="V84" s="9"/>
      <c r="W84" s="9"/>
      <c r="X84" s="9"/>
      <c r="Y84" s="9"/>
      <c r="Z84" s="9"/>
    </row>
    <row r="85" ht="46.5" customHeight="1">
      <c r="A85" s="27" t="s">
        <v>313</v>
      </c>
      <c r="B85" s="27" t="s">
        <v>314</v>
      </c>
      <c r="C85" s="46" t="s">
        <v>92</v>
      </c>
      <c r="D85" s="91" t="s">
        <v>315</v>
      </c>
      <c r="E85" s="51" t="str">
        <f>IF(C85="","",IF(C85="Yes","Describe or provide a reference to the supported types of authentication.","Describe plans to support authentication in your web-based interface."))</f>
        <v>Describe or provide a reference to the supported types of authentication.</v>
      </c>
      <c r="F85" s="9"/>
      <c r="G85" s="9"/>
      <c r="H85" s="9"/>
      <c r="I85" s="9"/>
      <c r="J85" s="9"/>
      <c r="K85" s="9"/>
      <c r="L85" s="9"/>
      <c r="M85" s="9"/>
      <c r="N85" s="9"/>
      <c r="O85" s="9"/>
      <c r="P85" s="9"/>
      <c r="Q85" s="9"/>
      <c r="R85" s="9"/>
      <c r="S85" s="9"/>
      <c r="T85" s="9"/>
      <c r="U85" s="9"/>
      <c r="V85" s="9"/>
      <c r="W85" s="9"/>
      <c r="X85" s="9"/>
      <c r="Y85" s="9"/>
      <c r="Z85" s="9"/>
    </row>
    <row r="86" ht="48.0" customHeight="1">
      <c r="A86" s="27" t="s">
        <v>316</v>
      </c>
      <c r="B86" s="27" t="s">
        <v>317</v>
      </c>
      <c r="C86" s="46" t="s">
        <v>85</v>
      </c>
      <c r="D86" s="76"/>
      <c r="E86" s="51" t="str">
        <f>IF(C86="","",IF(C86="Yes","Provide a detailed description of passwords/passphrases hard-coded into your systems or products.",""))</f>
        <v/>
      </c>
      <c r="F86" s="9"/>
      <c r="G86" s="9"/>
      <c r="H86" s="9"/>
      <c r="I86" s="9"/>
      <c r="J86" s="9"/>
      <c r="K86" s="9"/>
      <c r="L86" s="9"/>
      <c r="M86" s="9"/>
      <c r="N86" s="9"/>
      <c r="O86" s="9"/>
      <c r="P86" s="9"/>
      <c r="Q86" s="9"/>
      <c r="R86" s="9"/>
      <c r="S86" s="9"/>
      <c r="T86" s="9"/>
      <c r="U86" s="9"/>
      <c r="V86" s="9"/>
      <c r="W86" s="9"/>
      <c r="X86" s="9"/>
      <c r="Y86" s="9"/>
      <c r="Z86" s="9"/>
    </row>
    <row r="87" ht="48.0" customHeight="1">
      <c r="A87" s="27" t="s">
        <v>319</v>
      </c>
      <c r="B87" s="27" t="s">
        <v>320</v>
      </c>
      <c r="C87" s="46" t="s">
        <v>85</v>
      </c>
      <c r="D87" s="76"/>
      <c r="E87" s="51" t="str">
        <f>IF(C87="","",IF(C87="Yes","Provide a detailed description stating why user account passwords/passphrases are visible by administrators.",""))</f>
        <v/>
      </c>
      <c r="F87" s="9"/>
      <c r="G87" s="9"/>
      <c r="H87" s="9"/>
      <c r="I87" s="9"/>
      <c r="J87" s="9"/>
      <c r="K87" s="9"/>
      <c r="L87" s="9"/>
      <c r="M87" s="9"/>
      <c r="N87" s="9"/>
      <c r="O87" s="9"/>
      <c r="P87" s="9"/>
      <c r="Q87" s="9"/>
      <c r="R87" s="9"/>
      <c r="S87" s="9"/>
      <c r="T87" s="9"/>
      <c r="U87" s="9"/>
      <c r="V87" s="9"/>
      <c r="W87" s="9"/>
      <c r="X87" s="9"/>
      <c r="Y87" s="9"/>
      <c r="Z87" s="9"/>
    </row>
    <row r="88" ht="48.0" customHeight="1">
      <c r="A88" s="27" t="s">
        <v>328</v>
      </c>
      <c r="B88" s="27" t="s">
        <v>329</v>
      </c>
      <c r="C88" s="46" t="s">
        <v>92</v>
      </c>
      <c r="D88" s="76"/>
      <c r="E88" s="51" t="str">
        <f>IF(C88="","",IF(C88="Yes","Describe or provide a reference to the algorithm/strategy that is used to encrypt stored passwords/passphrases.","Provide a detailed description stating why user account passwords/passphrases are not encrypted in storage."))</f>
        <v>Describe or provide a reference to the algorithm/strategy that is used to encrypt stored passwords/passphrases.</v>
      </c>
      <c r="F88" s="9"/>
      <c r="G88" s="9"/>
      <c r="H88" s="9"/>
      <c r="I88" s="9"/>
      <c r="J88" s="9"/>
      <c r="K88" s="9"/>
      <c r="L88" s="9"/>
      <c r="M88" s="9"/>
      <c r="N88" s="9"/>
      <c r="O88" s="9"/>
      <c r="P88" s="9"/>
      <c r="Q88" s="9"/>
      <c r="R88" s="9"/>
      <c r="S88" s="9"/>
      <c r="T88" s="9"/>
      <c r="U88" s="9"/>
      <c r="V88" s="9"/>
      <c r="W88" s="9"/>
      <c r="X88" s="9"/>
      <c r="Y88" s="9"/>
      <c r="Z88" s="9"/>
    </row>
    <row r="89" ht="48.0" customHeight="1">
      <c r="A89" s="27" t="s">
        <v>332</v>
      </c>
      <c r="B89" s="27" t="s">
        <v>334</v>
      </c>
      <c r="C89" s="46" t="s">
        <v>92</v>
      </c>
      <c r="D89" s="89" t="s">
        <v>336</v>
      </c>
      <c r="E89" s="51" t="str">
        <f>IF(C89="","",IF(C89="Yes","List all supported multi-factor authentication methods, technologies, and/or products and provide a brief summary of each.","Describe any plans to support multi-factor authentication in your application."))</f>
        <v>List all supported multi-factor authentication methods, technologies, and/or products and provide a brief summary of each.</v>
      </c>
      <c r="F89" s="9"/>
      <c r="G89" s="9"/>
      <c r="H89" s="9"/>
      <c r="I89" s="9"/>
      <c r="J89" s="9"/>
      <c r="K89" s="9"/>
      <c r="L89" s="9"/>
      <c r="M89" s="9"/>
      <c r="N89" s="9"/>
      <c r="O89" s="9"/>
      <c r="P89" s="9"/>
      <c r="Q89" s="9"/>
      <c r="R89" s="9"/>
      <c r="S89" s="9"/>
      <c r="T89" s="9"/>
      <c r="U89" s="9"/>
      <c r="V89" s="9"/>
      <c r="W89" s="9"/>
      <c r="X89" s="9"/>
      <c r="Y89" s="9"/>
      <c r="Z89" s="9"/>
    </row>
    <row r="90" ht="52.5" customHeight="1">
      <c r="A90" s="27" t="s">
        <v>339</v>
      </c>
      <c r="B90" s="27" t="s">
        <v>340</v>
      </c>
      <c r="C90" s="46" t="s">
        <v>85</v>
      </c>
      <c r="D90" s="94" t="s">
        <v>341</v>
      </c>
      <c r="E90" s="51" t="str">
        <f>IF(C90="","",IF(C90="Yes","Provide a brief description of supported authentication and authorization systems.","Describe any plans to support integration with other authentication and authorization systems."))</f>
        <v>Describe any plans to support integration with other authentication and authorization systems.</v>
      </c>
      <c r="F90" s="9"/>
      <c r="G90" s="9"/>
      <c r="H90" s="9"/>
      <c r="I90" s="9"/>
      <c r="J90" s="9"/>
      <c r="K90" s="9"/>
      <c r="L90" s="9"/>
      <c r="M90" s="9"/>
      <c r="N90" s="9"/>
      <c r="O90" s="9"/>
      <c r="P90" s="9"/>
      <c r="Q90" s="9"/>
      <c r="R90" s="9"/>
      <c r="S90" s="9"/>
      <c r="T90" s="9"/>
      <c r="U90" s="9"/>
      <c r="V90" s="9"/>
      <c r="W90" s="9"/>
      <c r="X90" s="9"/>
      <c r="Y90" s="9"/>
      <c r="Z90" s="9"/>
    </row>
    <row r="91" ht="46.5" customHeight="1">
      <c r="A91" s="27" t="s">
        <v>349</v>
      </c>
      <c r="B91" s="27" t="s">
        <v>350</v>
      </c>
      <c r="C91" s="78"/>
      <c r="D91" s="76"/>
      <c r="E91" s="51" t="str">
        <f>IF(C91="","",IF(C91="Yes","Summarize the utilized technology and provide references to how it is implemented in the product/system.",""))</f>
        <v/>
      </c>
      <c r="F91" s="9"/>
      <c r="G91" s="9"/>
      <c r="H91" s="9"/>
      <c r="I91" s="9"/>
      <c r="J91" s="9"/>
      <c r="K91" s="9"/>
      <c r="L91" s="9"/>
      <c r="M91" s="9"/>
      <c r="N91" s="9"/>
      <c r="O91" s="9"/>
      <c r="P91" s="9"/>
      <c r="Q91" s="9"/>
      <c r="R91" s="9"/>
      <c r="S91" s="9"/>
      <c r="T91" s="9"/>
      <c r="U91" s="9"/>
      <c r="V91" s="9"/>
      <c r="W91" s="9"/>
      <c r="X91" s="9"/>
      <c r="Y91" s="9"/>
      <c r="Z91" s="9"/>
    </row>
    <row r="92" ht="54.0" customHeight="1">
      <c r="A92" s="27" t="s">
        <v>351</v>
      </c>
      <c r="B92" s="27" t="s">
        <v>355</v>
      </c>
      <c r="C92" s="46" t="s">
        <v>85</v>
      </c>
      <c r="D92" s="76"/>
      <c r="E92" s="51" t="str">
        <f>IF(C92="","",IF(C92="Yes","Describe all authentication services supported by the system.","Describe any plans to support external authentication services in place of local authentication."))</f>
        <v>Describe any plans to support external authentication services in place of local authentication.</v>
      </c>
      <c r="F92" s="9"/>
      <c r="G92" s="9"/>
      <c r="H92" s="9"/>
      <c r="I92" s="9"/>
      <c r="J92" s="9"/>
      <c r="K92" s="9"/>
      <c r="L92" s="9"/>
      <c r="M92" s="9"/>
      <c r="N92" s="9"/>
      <c r="O92" s="9"/>
      <c r="P92" s="9"/>
      <c r="Q92" s="9"/>
      <c r="R92" s="9"/>
      <c r="S92" s="9"/>
      <c r="T92" s="9"/>
      <c r="U92" s="9"/>
      <c r="V92" s="9"/>
      <c r="W92" s="9"/>
      <c r="X92" s="9"/>
      <c r="Y92" s="9"/>
      <c r="Z92" s="9"/>
    </row>
    <row r="93" ht="54.0" customHeight="1">
      <c r="A93" s="27" t="s">
        <v>353</v>
      </c>
      <c r="B93" s="27" t="s">
        <v>354</v>
      </c>
      <c r="C93" s="78"/>
      <c r="D93" s="76"/>
      <c r="E93" s="51" t="str">
        <f>IF(C93="","",IF(C93="Yes","Provide a detailed description of your mixed authentication mode practices.","Describe any plans to use mixed authentication modes."))</f>
        <v/>
      </c>
      <c r="F93" s="9"/>
      <c r="G93" s="9"/>
      <c r="H93" s="9"/>
      <c r="I93" s="9"/>
      <c r="J93" s="9"/>
      <c r="K93" s="9"/>
      <c r="L93" s="9"/>
      <c r="M93" s="9"/>
      <c r="N93" s="9"/>
      <c r="O93" s="9"/>
      <c r="P93" s="9"/>
      <c r="Q93" s="9"/>
      <c r="R93" s="9"/>
      <c r="S93" s="9"/>
      <c r="T93" s="9"/>
      <c r="U93" s="9"/>
      <c r="V93" s="9"/>
      <c r="W93" s="9"/>
      <c r="X93" s="9"/>
      <c r="Y93" s="9"/>
      <c r="Z93" s="9"/>
    </row>
    <row r="94" ht="46.5" customHeight="1">
      <c r="A94" s="27" t="s">
        <v>356</v>
      </c>
      <c r="B94" s="27" t="s">
        <v>357</v>
      </c>
      <c r="C94" s="78"/>
      <c r="D94" s="76"/>
      <c r="E94" s="51" t="str">
        <f>IF(C94="","",IF(C94="Yes","Summarize the utilized technology and provide references to how it is implemented in the product/system.",""))</f>
        <v/>
      </c>
      <c r="F94" s="9"/>
      <c r="G94" s="9"/>
      <c r="H94" s="9"/>
      <c r="I94" s="9"/>
      <c r="J94" s="9"/>
      <c r="K94" s="9"/>
      <c r="L94" s="9"/>
      <c r="M94" s="9"/>
      <c r="N94" s="9"/>
      <c r="O94" s="9"/>
      <c r="P94" s="9"/>
      <c r="Q94" s="9"/>
      <c r="R94" s="9"/>
      <c r="S94" s="9"/>
      <c r="T94" s="9"/>
      <c r="U94" s="9"/>
      <c r="V94" s="9"/>
      <c r="W94" s="9"/>
      <c r="X94" s="9"/>
      <c r="Y94" s="9"/>
      <c r="Z94" s="9"/>
    </row>
    <row r="95" ht="48.0" customHeight="1">
      <c r="A95" s="27" t="s">
        <v>359</v>
      </c>
      <c r="B95" s="27" t="s">
        <v>360</v>
      </c>
      <c r="C95" s="46" t="s">
        <v>92</v>
      </c>
      <c r="D95" s="76"/>
      <c r="E95" s="51" t="str">
        <f>IF(C95="","",IF(C95="Yes","Ensure that all elements of AAAI-15 are evaluated for your response. Provide a description of logging capabilities.","Describe any plans to enable audit logs for these data elements."))</f>
        <v>Ensure that all elements of AAAI-15 are evaluated for your response. Provide a description of logging capabilities.</v>
      </c>
      <c r="F95" s="9"/>
      <c r="G95" s="9"/>
      <c r="H95" s="9"/>
      <c r="I95" s="9"/>
      <c r="J95" s="9"/>
      <c r="K95" s="9"/>
      <c r="L95" s="9"/>
      <c r="M95" s="9"/>
      <c r="N95" s="9"/>
      <c r="O95" s="9"/>
      <c r="P95" s="9"/>
      <c r="Q95" s="9"/>
      <c r="R95" s="9"/>
      <c r="S95" s="9"/>
      <c r="T95" s="9"/>
      <c r="U95" s="9"/>
      <c r="V95" s="9"/>
      <c r="W95" s="9"/>
      <c r="X95" s="9"/>
      <c r="Y95" s="9"/>
      <c r="Z95" s="9"/>
    </row>
    <row r="96" ht="96.0" customHeight="1">
      <c r="A96" s="27" t="s">
        <v>367</v>
      </c>
      <c r="B96" s="27" t="s">
        <v>376</v>
      </c>
      <c r="C96" s="88" t="s">
        <v>377</v>
      </c>
      <c r="D96" s="3"/>
      <c r="E96" s="51" t="s">
        <v>378</v>
      </c>
      <c r="F96" s="9"/>
      <c r="G96" s="9"/>
      <c r="H96" s="9"/>
      <c r="I96" s="9"/>
      <c r="J96" s="9"/>
      <c r="K96" s="9"/>
      <c r="L96" s="9"/>
      <c r="M96" s="9"/>
      <c r="N96" s="9"/>
      <c r="O96" s="9"/>
      <c r="P96" s="9"/>
      <c r="Q96" s="9"/>
      <c r="R96" s="9"/>
      <c r="S96" s="9"/>
      <c r="T96" s="9"/>
      <c r="U96" s="9"/>
      <c r="V96" s="9"/>
      <c r="W96" s="9"/>
      <c r="X96" s="9"/>
      <c r="Y96" s="9"/>
      <c r="Z96" s="9"/>
    </row>
    <row r="97" ht="84.0" customHeight="1">
      <c r="A97" s="27" t="s">
        <v>372</v>
      </c>
      <c r="B97" s="27" t="s">
        <v>373</v>
      </c>
      <c r="C97" s="88" t="s">
        <v>379</v>
      </c>
      <c r="D97" s="3"/>
      <c r="E97" s="51" t="s">
        <v>380</v>
      </c>
      <c r="F97" s="9"/>
      <c r="G97" s="9"/>
      <c r="H97" s="9"/>
      <c r="I97" s="9"/>
      <c r="J97" s="9"/>
      <c r="K97" s="9"/>
      <c r="L97" s="9"/>
      <c r="M97" s="9"/>
      <c r="N97" s="9"/>
      <c r="O97" s="9"/>
      <c r="P97" s="9"/>
      <c r="Q97" s="9"/>
      <c r="R97" s="9"/>
      <c r="S97" s="9"/>
      <c r="T97" s="9"/>
      <c r="U97" s="9"/>
      <c r="V97" s="9"/>
      <c r="W97" s="9"/>
      <c r="X97" s="9"/>
      <c r="Y97" s="9"/>
      <c r="Z97" s="9"/>
    </row>
    <row r="98" ht="36.0" customHeight="1">
      <c r="A98" s="18" t="str">
        <f>IF(OR($C$27="No",$C$30="Yes"),"BCP - Respond to as many questions below as possible.","Business Continuity Plan")</f>
        <v>Business Continuity Plan</v>
      </c>
      <c r="B98" s="3"/>
      <c r="C98" s="20" t="s">
        <v>79</v>
      </c>
      <c r="D98" s="20" t="s">
        <v>80</v>
      </c>
      <c r="E98" s="45" t="s">
        <v>81</v>
      </c>
      <c r="F98" s="9"/>
      <c r="G98" s="9"/>
      <c r="H98" s="9"/>
      <c r="I98" s="9"/>
      <c r="J98" s="9"/>
      <c r="K98" s="9"/>
      <c r="L98" s="9"/>
      <c r="M98" s="9"/>
      <c r="N98" s="9"/>
      <c r="O98" s="9"/>
      <c r="P98" s="9"/>
      <c r="Q98" s="9"/>
      <c r="R98" s="9"/>
      <c r="S98" s="9"/>
      <c r="T98" s="9"/>
      <c r="U98" s="9"/>
      <c r="V98" s="9"/>
      <c r="W98" s="9"/>
      <c r="X98" s="9"/>
      <c r="Y98" s="9"/>
      <c r="Z98" s="9"/>
    </row>
    <row r="99" ht="48.0" customHeight="1">
      <c r="A99" s="27" t="s">
        <v>381</v>
      </c>
      <c r="B99" s="27" t="s">
        <v>382</v>
      </c>
      <c r="C99" s="86" t="s">
        <v>391</v>
      </c>
      <c r="D99" s="3"/>
      <c r="E99" s="51" t="s">
        <v>395</v>
      </c>
      <c r="F99" s="9"/>
      <c r="G99" s="9"/>
      <c r="H99" s="9"/>
      <c r="I99" s="9"/>
      <c r="J99" s="9"/>
      <c r="K99" s="9"/>
      <c r="L99" s="9"/>
      <c r="M99" s="9"/>
      <c r="N99" s="9"/>
      <c r="O99" s="9"/>
      <c r="P99" s="9"/>
      <c r="Q99" s="9"/>
      <c r="R99" s="9"/>
      <c r="S99" s="9"/>
      <c r="T99" s="9"/>
      <c r="U99" s="9"/>
      <c r="V99" s="9"/>
      <c r="W99" s="9"/>
      <c r="X99" s="9"/>
      <c r="Y99" s="9"/>
      <c r="Z99" s="9"/>
    </row>
    <row r="100" ht="46.5" customHeight="1">
      <c r="A100" s="27" t="s">
        <v>386</v>
      </c>
      <c r="B100" s="27" t="s">
        <v>387</v>
      </c>
      <c r="C100" s="46" t="s">
        <v>92</v>
      </c>
      <c r="D100" s="89" t="s">
        <v>398</v>
      </c>
      <c r="E100" s="51" t="str">
        <f>IF(C100="","",IF(C100="Yes","Provide a reference to your BCP and supporting documentation or submit it along with this fully-populated HECVAT.","Briefly summarize your response."))</f>
        <v>Provide a reference to your BCP and supporting documentation or submit it along with this fully-populated HECVAT.</v>
      </c>
      <c r="F100" s="9"/>
      <c r="G100" s="9"/>
      <c r="H100" s="9"/>
      <c r="I100" s="9"/>
      <c r="J100" s="9"/>
      <c r="K100" s="9"/>
      <c r="L100" s="9"/>
      <c r="M100" s="9"/>
      <c r="N100" s="9"/>
      <c r="O100" s="9"/>
      <c r="P100" s="9"/>
      <c r="Q100" s="9"/>
      <c r="R100" s="9"/>
      <c r="S100" s="9"/>
      <c r="T100" s="9"/>
      <c r="U100" s="9"/>
      <c r="V100" s="9"/>
      <c r="W100" s="9"/>
      <c r="X100" s="9"/>
      <c r="Y100" s="9"/>
      <c r="Z100" s="9"/>
    </row>
    <row r="101" ht="46.5" customHeight="1">
      <c r="A101" s="27" t="s">
        <v>389</v>
      </c>
      <c r="B101" s="27" t="s">
        <v>390</v>
      </c>
      <c r="C101" s="46" t="s">
        <v>92</v>
      </c>
      <c r="D101" s="95" t="s">
        <v>406</v>
      </c>
      <c r="E101" s="51" t="str">
        <f>IF(C101="","",IF(C101="Yes","Provide additional details, as needed.","Describe any plans to define a BCP owner responsible for maintenance and review."))</f>
        <v>Provide additional details, as needed.</v>
      </c>
      <c r="F101" s="9"/>
      <c r="G101" s="9"/>
      <c r="H101" s="9"/>
      <c r="I101" s="9"/>
      <c r="J101" s="9"/>
      <c r="K101" s="9"/>
      <c r="L101" s="9"/>
      <c r="M101" s="9"/>
      <c r="N101" s="9"/>
      <c r="O101" s="9"/>
      <c r="P101" s="9"/>
      <c r="Q101" s="9"/>
      <c r="R101" s="9"/>
      <c r="S101" s="9"/>
      <c r="T101" s="9"/>
      <c r="U101" s="9"/>
      <c r="V101" s="9"/>
      <c r="W101" s="9"/>
      <c r="X101" s="9"/>
      <c r="Y101" s="9"/>
      <c r="Z101" s="9"/>
    </row>
    <row r="102" ht="46.5" customHeight="1">
      <c r="A102" s="27" t="s">
        <v>392</v>
      </c>
      <c r="B102" s="27" t="s">
        <v>393</v>
      </c>
      <c r="C102" s="46" t="s">
        <v>85</v>
      </c>
      <c r="D102" s="76"/>
      <c r="E102" s="51" t="str">
        <f>IF(C102="","",IF(C102="Yes","Summarize your defined problem/issue escalation plan contained in your BCP.","Describe any plans to define a problem/issue escalation plan in your BCP."))</f>
        <v>Describe any plans to define a problem/issue escalation plan in your BCP.</v>
      </c>
      <c r="F102" s="9"/>
      <c r="G102" s="9"/>
      <c r="H102" s="9"/>
      <c r="I102" s="9"/>
      <c r="J102" s="9"/>
      <c r="K102" s="9"/>
      <c r="L102" s="9"/>
      <c r="M102" s="9"/>
      <c r="N102" s="9"/>
      <c r="O102" s="9"/>
      <c r="P102" s="9"/>
      <c r="Q102" s="9"/>
      <c r="R102" s="9"/>
      <c r="S102" s="9"/>
      <c r="T102" s="9"/>
      <c r="U102" s="9"/>
      <c r="V102" s="9"/>
      <c r="W102" s="9"/>
      <c r="X102" s="9"/>
      <c r="Y102" s="9"/>
      <c r="Z102" s="9"/>
    </row>
    <row r="103" ht="46.5" customHeight="1">
      <c r="A103" s="27" t="s">
        <v>396</v>
      </c>
      <c r="B103" s="27" t="s">
        <v>397</v>
      </c>
      <c r="C103" s="46" t="s">
        <v>92</v>
      </c>
      <c r="D103" s="95" t="s">
        <v>420</v>
      </c>
      <c r="E103" s="51" t="str">
        <f>IF(C103="","",IF(C103="Yes","Summarize your documented communication plan contained in your BCP.","Describe any plans to document a communication plan in your BCP."))</f>
        <v>Summarize your documented communication plan contained in your BCP.</v>
      </c>
      <c r="F103" s="9"/>
      <c r="G103" s="9"/>
      <c r="H103" s="9"/>
      <c r="I103" s="9"/>
      <c r="J103" s="9"/>
      <c r="K103" s="9"/>
      <c r="L103" s="9"/>
      <c r="M103" s="9"/>
      <c r="N103" s="9"/>
      <c r="O103" s="9"/>
      <c r="P103" s="9"/>
      <c r="Q103" s="9"/>
      <c r="R103" s="9"/>
      <c r="S103" s="9"/>
      <c r="T103" s="9"/>
      <c r="U103" s="9"/>
      <c r="V103" s="9"/>
      <c r="W103" s="9"/>
      <c r="X103" s="9"/>
      <c r="Y103" s="9"/>
      <c r="Z103" s="9"/>
    </row>
    <row r="104" ht="48.0" customHeight="1">
      <c r="A104" s="27" t="s">
        <v>399</v>
      </c>
      <c r="B104" s="27" t="s">
        <v>400</v>
      </c>
      <c r="C104" s="46" t="s">
        <v>92</v>
      </c>
      <c r="D104" s="89" t="s">
        <v>421</v>
      </c>
      <c r="E104" s="51" t="str">
        <f>IF(C104="","",IF(C104="Yes","Describe your BCP component review strategy.","Describe any plans to annually review and update (as needed) your BCP."))</f>
        <v>Describe your BCP component review strategy.</v>
      </c>
      <c r="F104" s="9"/>
      <c r="G104" s="9"/>
      <c r="H104" s="9"/>
      <c r="I104" s="9"/>
      <c r="J104" s="9"/>
      <c r="K104" s="9"/>
      <c r="L104" s="9"/>
      <c r="M104" s="9"/>
      <c r="N104" s="9"/>
      <c r="O104" s="9"/>
      <c r="P104" s="9"/>
      <c r="Q104" s="9"/>
      <c r="R104" s="9"/>
      <c r="S104" s="9"/>
      <c r="T104" s="9"/>
      <c r="U104" s="9"/>
      <c r="V104" s="9"/>
      <c r="W104" s="9"/>
      <c r="X104" s="9"/>
      <c r="Y104" s="9"/>
      <c r="Z104" s="9"/>
    </row>
    <row r="105" ht="48.0" customHeight="1">
      <c r="A105" s="27" t="s">
        <v>401</v>
      </c>
      <c r="B105" s="27" t="s">
        <v>402</v>
      </c>
      <c r="C105" s="46" t="s">
        <v>92</v>
      </c>
      <c r="D105" s="96" t="s">
        <v>429</v>
      </c>
      <c r="E105" s="51" t="str">
        <f>IF(C105="","",IF(C105="Yes","State the date of your last BCP test.","Describe your strategy to implement annual BCP testing."))</f>
        <v>State the date of your last BCP test.</v>
      </c>
      <c r="F105" s="9"/>
      <c r="G105" s="9"/>
      <c r="H105" s="9"/>
      <c r="I105" s="9"/>
      <c r="J105" s="9"/>
      <c r="K105" s="9"/>
      <c r="L105" s="9"/>
      <c r="M105" s="9"/>
      <c r="N105" s="9"/>
      <c r="O105" s="9"/>
      <c r="P105" s="9"/>
      <c r="Q105" s="9"/>
      <c r="R105" s="9"/>
      <c r="S105" s="9"/>
      <c r="T105" s="9"/>
      <c r="U105" s="9"/>
      <c r="V105" s="9"/>
      <c r="W105" s="9"/>
      <c r="X105" s="9"/>
      <c r="Y105" s="9"/>
      <c r="Z105" s="9"/>
    </row>
    <row r="106" ht="46.5" customHeight="1">
      <c r="A106" s="27" t="s">
        <v>404</v>
      </c>
      <c r="B106" s="27" t="s">
        <v>405</v>
      </c>
      <c r="C106" s="46" t="s">
        <v>92</v>
      </c>
      <c r="D106" s="89" t="s">
        <v>439</v>
      </c>
      <c r="E106" s="51" t="str">
        <f>IF(C106="","",IF(C106="Yes","Describe your training and awareness activities.","State your plans to implement training and awareness activities focused on roles and responsibilities during a crisis."))</f>
        <v>Describe your training and awareness activities.</v>
      </c>
      <c r="F106" s="9"/>
      <c r="G106" s="9"/>
      <c r="H106" s="9"/>
      <c r="I106" s="9"/>
      <c r="J106" s="9"/>
      <c r="K106" s="9"/>
      <c r="L106" s="9"/>
      <c r="M106" s="9"/>
      <c r="N106" s="9"/>
      <c r="O106" s="9"/>
      <c r="P106" s="9"/>
      <c r="Q106" s="9"/>
      <c r="R106" s="9"/>
      <c r="S106" s="9"/>
      <c r="T106" s="9"/>
      <c r="U106" s="9"/>
      <c r="V106" s="9"/>
      <c r="W106" s="9"/>
      <c r="X106" s="9"/>
      <c r="Y106" s="9"/>
      <c r="Z106" s="9"/>
    </row>
    <row r="107" ht="46.5" customHeight="1">
      <c r="A107" s="27" t="s">
        <v>410</v>
      </c>
      <c r="B107" s="27" t="s">
        <v>411</v>
      </c>
      <c r="C107" s="46" t="s">
        <v>92</v>
      </c>
      <c r="D107" s="89" t="s">
        <v>447</v>
      </c>
      <c r="E107" s="51" t="str">
        <f>IF(C107="","",IF(C107="Yes","Summarize these crisis management roles and responsibilities.","State your plans to define and document crisis management roles and responsibilities."))</f>
        <v>Summarize these crisis management roles and responsibilities.</v>
      </c>
      <c r="F107" s="9"/>
      <c r="G107" s="9"/>
      <c r="H107" s="9"/>
      <c r="I107" s="9"/>
      <c r="J107" s="9"/>
      <c r="K107" s="9"/>
      <c r="L107" s="9"/>
      <c r="M107" s="9"/>
      <c r="N107" s="9"/>
      <c r="O107" s="9"/>
      <c r="P107" s="9"/>
      <c r="Q107" s="9"/>
      <c r="R107" s="9"/>
      <c r="S107" s="9"/>
      <c r="T107" s="9"/>
      <c r="U107" s="9"/>
      <c r="V107" s="9"/>
      <c r="W107" s="9"/>
      <c r="X107" s="9"/>
      <c r="Y107" s="9"/>
      <c r="Z107" s="9"/>
    </row>
    <row r="108" ht="46.5" customHeight="1">
      <c r="A108" s="27" t="s">
        <v>413</v>
      </c>
      <c r="B108" s="27" t="s">
        <v>414</v>
      </c>
      <c r="C108" s="46" t="s">
        <v>85</v>
      </c>
      <c r="D108" s="76"/>
      <c r="E108" s="51" t="str">
        <f>IF(C108="","",IF(C108="Yes","Provide the distance (in miles) between the primary and secondary locations.","Describe your plans to coordinate an alternative business site or contract with a business recovery provider?"))</f>
        <v>Describe your plans to coordinate an alternative business site or contract with a business recovery provider?</v>
      </c>
      <c r="F108" s="9"/>
      <c r="G108" s="9"/>
      <c r="H108" s="9"/>
      <c r="I108" s="9"/>
      <c r="J108" s="9"/>
      <c r="K108" s="9"/>
      <c r="L108" s="9"/>
      <c r="M108" s="9"/>
      <c r="N108" s="9"/>
      <c r="O108" s="9"/>
      <c r="P108" s="9"/>
      <c r="Q108" s="9"/>
      <c r="R108" s="9"/>
      <c r="S108" s="9"/>
      <c r="T108" s="9"/>
      <c r="U108" s="9"/>
      <c r="V108" s="9"/>
      <c r="W108" s="9"/>
      <c r="X108" s="9"/>
      <c r="Y108" s="9"/>
      <c r="Z108" s="9"/>
    </row>
    <row r="109" ht="46.5" customHeight="1">
      <c r="A109" s="27" t="s">
        <v>416</v>
      </c>
      <c r="B109" s="27" t="s">
        <v>468</v>
      </c>
      <c r="C109" s="46" t="s">
        <v>92</v>
      </c>
      <c r="D109" s="89" t="s">
        <v>470</v>
      </c>
      <c r="E109" s="51" t="str">
        <f>IF(C109="","",IF(C109="Yes","State the date of your last alternate site relocation test.","Describe your strategy to implement annual alternate site relocation testing."))</f>
        <v>State the date of your last alternate site relocation test.</v>
      </c>
      <c r="F109" s="9"/>
      <c r="G109" s="9"/>
      <c r="H109" s="9"/>
      <c r="I109" s="9"/>
      <c r="J109" s="9"/>
      <c r="K109" s="9"/>
      <c r="L109" s="9"/>
      <c r="M109" s="9"/>
      <c r="N109" s="9"/>
      <c r="O109" s="9"/>
      <c r="P109" s="9"/>
      <c r="Q109" s="9"/>
      <c r="R109" s="9"/>
      <c r="S109" s="9"/>
      <c r="T109" s="9"/>
      <c r="U109" s="9"/>
      <c r="V109" s="9"/>
      <c r="W109" s="9"/>
      <c r="X109" s="9"/>
      <c r="Y109" s="9"/>
      <c r="Z109" s="9"/>
    </row>
    <row r="110" ht="63.75" customHeight="1">
      <c r="A110" s="27" t="s">
        <v>418</v>
      </c>
      <c r="B110" s="27" t="s">
        <v>419</v>
      </c>
      <c r="C110" s="57" t="s">
        <v>92</v>
      </c>
      <c r="D110" s="76"/>
      <c r="E110" s="51" t="str">
        <f>IF(C110="","",IF(C110="Yes","Provide a brief summary to support your selection.","Summarize this product's restoration priority in your BCP."))</f>
        <v>Provide a brief summary to support your selection.</v>
      </c>
      <c r="F110" s="9"/>
      <c r="G110" s="9"/>
      <c r="H110" s="9"/>
      <c r="I110" s="9"/>
      <c r="J110" s="9"/>
      <c r="K110" s="9"/>
      <c r="L110" s="9"/>
      <c r="M110" s="9"/>
      <c r="N110" s="9"/>
      <c r="O110" s="9"/>
      <c r="P110" s="9"/>
      <c r="Q110" s="9"/>
      <c r="R110" s="9"/>
      <c r="S110" s="9"/>
      <c r="T110" s="9"/>
      <c r="U110" s="9"/>
      <c r="V110" s="9"/>
      <c r="W110" s="9"/>
      <c r="X110" s="9"/>
      <c r="Y110" s="9"/>
      <c r="Z110" s="9"/>
    </row>
    <row r="111" ht="36.0" customHeight="1">
      <c r="A111" s="18" t="str">
        <f>IF($C$30="","Change Management",IF($C$30="Yes","Change Management - Optional based on QUALIFIER response.","Change Management"))</f>
        <v>Change Management</v>
      </c>
      <c r="B111" s="3"/>
      <c r="C111" s="20" t="s">
        <v>79</v>
      </c>
      <c r="D111" s="20" t="s">
        <v>80</v>
      </c>
      <c r="E111" s="45" t="s">
        <v>81</v>
      </c>
      <c r="F111" s="9"/>
      <c r="G111" s="9"/>
      <c r="H111" s="9"/>
      <c r="I111" s="9"/>
      <c r="J111" s="9"/>
      <c r="K111" s="9"/>
      <c r="L111" s="9"/>
      <c r="M111" s="9"/>
      <c r="N111" s="9"/>
      <c r="O111" s="9"/>
      <c r="P111" s="9"/>
      <c r="Q111" s="9"/>
      <c r="R111" s="9"/>
      <c r="S111" s="9"/>
      <c r="T111" s="9"/>
      <c r="U111" s="9"/>
      <c r="V111" s="9"/>
      <c r="W111" s="9"/>
      <c r="X111" s="9"/>
      <c r="Y111" s="9"/>
      <c r="Z111" s="9"/>
    </row>
    <row r="112">
      <c r="A112" s="27" t="s">
        <v>422</v>
      </c>
      <c r="B112" s="27" t="s">
        <v>423</v>
      </c>
      <c r="C112" s="46" t="s">
        <v>92</v>
      </c>
      <c r="D112" s="98" t="s">
        <v>482</v>
      </c>
      <c r="E112" s="51" t="str">
        <f>IF(C112="","",IF(C112="Yes","Summarize your current change management process.","Describe current plans to implement a change management process."))</f>
        <v>Summarize your current change management process.</v>
      </c>
      <c r="F112" s="9"/>
      <c r="G112" s="9"/>
      <c r="H112" s="9"/>
      <c r="I112" s="9"/>
      <c r="J112" s="9"/>
      <c r="K112" s="9"/>
      <c r="L112" s="9"/>
      <c r="M112" s="9"/>
      <c r="N112" s="9"/>
      <c r="O112" s="9"/>
      <c r="P112" s="9"/>
      <c r="Q112" s="9"/>
      <c r="R112" s="9"/>
      <c r="S112" s="9"/>
      <c r="T112" s="9"/>
      <c r="U112" s="9"/>
      <c r="V112" s="9"/>
      <c r="W112" s="9"/>
      <c r="X112" s="9"/>
      <c r="Y112" s="9"/>
      <c r="Z112" s="9"/>
    </row>
    <row r="113" ht="79.5" customHeight="1">
      <c r="A113" s="27" t="s">
        <v>430</v>
      </c>
      <c r="B113" s="27" t="s">
        <v>431</v>
      </c>
      <c r="C113" s="88" t="s">
        <v>515</v>
      </c>
      <c r="D113" s="3"/>
      <c r="E113" s="51" t="s">
        <v>521</v>
      </c>
      <c r="F113" s="9"/>
      <c r="G113" s="9"/>
      <c r="H113" s="9"/>
      <c r="I113" s="9"/>
      <c r="J113" s="9"/>
      <c r="K113" s="9"/>
      <c r="L113" s="9"/>
      <c r="M113" s="9"/>
      <c r="N113" s="9"/>
      <c r="O113" s="9"/>
      <c r="P113" s="9"/>
      <c r="Q113" s="9"/>
      <c r="R113" s="9"/>
      <c r="S113" s="9"/>
      <c r="T113" s="9"/>
      <c r="U113" s="9"/>
      <c r="V113" s="9"/>
      <c r="W113" s="9"/>
      <c r="X113" s="9"/>
      <c r="Y113" s="9"/>
      <c r="Z113" s="9"/>
    </row>
    <row r="114" ht="63.75" customHeight="1">
      <c r="A114" s="27" t="s">
        <v>434</v>
      </c>
      <c r="B114" s="27" t="s">
        <v>435</v>
      </c>
      <c r="C114" s="46" t="s">
        <v>92</v>
      </c>
      <c r="D114" s="91" t="s">
        <v>526</v>
      </c>
      <c r="E114" s="51" t="str">
        <f>IF(C114="","",IF(C114="Yes","State how and when the Institution will be notified of major changes to your environment.","Describe plans to establish a notification mechanism for major environmental changes."))</f>
        <v>State how and when the Institution will be notified of major changes to your environment.</v>
      </c>
      <c r="F114" s="9"/>
      <c r="G114" s="9"/>
      <c r="H114" s="9"/>
      <c r="I114" s="9"/>
      <c r="J114" s="9"/>
      <c r="K114" s="9"/>
      <c r="L114" s="9"/>
      <c r="M114" s="9"/>
      <c r="N114" s="9"/>
      <c r="O114" s="9"/>
      <c r="P114" s="9"/>
      <c r="Q114" s="9"/>
      <c r="R114" s="9"/>
      <c r="S114" s="9"/>
      <c r="T114" s="9"/>
      <c r="U114" s="9"/>
      <c r="V114" s="9"/>
      <c r="W114" s="9"/>
      <c r="X114" s="9"/>
      <c r="Y114" s="9"/>
      <c r="Z114" s="9"/>
    </row>
    <row r="115" ht="63.75" customHeight="1">
      <c r="A115" s="27" t="s">
        <v>437</v>
      </c>
      <c r="B115" s="27" t="s">
        <v>438</v>
      </c>
      <c r="C115" s="74" t="s">
        <v>85</v>
      </c>
      <c r="D115" s="83" t="s">
        <v>548</v>
      </c>
      <c r="E115" s="51" t="str">
        <f>IF(C115="","",IF(C115="Yes","Provide reference the the process/procedure to manage releases.","Summarize why clients do not have alternative release option."))</f>
        <v>Summarize why clients do not have alternative release option.</v>
      </c>
      <c r="F115" s="9"/>
      <c r="G115" s="9"/>
      <c r="H115" s="9"/>
      <c r="I115" s="9"/>
      <c r="J115" s="9"/>
      <c r="K115" s="9"/>
      <c r="L115" s="9"/>
      <c r="M115" s="9"/>
      <c r="N115" s="9"/>
      <c r="O115" s="9"/>
      <c r="P115" s="9"/>
      <c r="Q115" s="9"/>
      <c r="R115" s="9"/>
      <c r="S115" s="9"/>
      <c r="T115" s="9"/>
      <c r="U115" s="9"/>
      <c r="V115" s="9"/>
      <c r="W115" s="9"/>
      <c r="X115" s="9"/>
      <c r="Y115" s="9"/>
      <c r="Z115" s="9"/>
    </row>
    <row r="116" ht="63.75" customHeight="1">
      <c r="A116" s="27" t="s">
        <v>440</v>
      </c>
      <c r="B116" s="27" t="s">
        <v>441</v>
      </c>
      <c r="C116" s="88" t="s">
        <v>571</v>
      </c>
      <c r="D116" s="3"/>
      <c r="E116" s="51" t="s">
        <v>578</v>
      </c>
      <c r="F116" s="9"/>
      <c r="G116" s="9"/>
      <c r="H116" s="9"/>
      <c r="I116" s="9"/>
      <c r="J116" s="9"/>
      <c r="K116" s="9"/>
      <c r="L116" s="9"/>
      <c r="M116" s="9"/>
      <c r="N116" s="9"/>
      <c r="O116" s="9"/>
      <c r="P116" s="9"/>
      <c r="Q116" s="9"/>
      <c r="R116" s="9"/>
      <c r="S116" s="9"/>
      <c r="T116" s="9"/>
      <c r="U116" s="9"/>
      <c r="V116" s="9"/>
      <c r="W116" s="9"/>
      <c r="X116" s="9"/>
      <c r="Y116" s="9"/>
      <c r="Z116" s="9"/>
    </row>
    <row r="117" ht="63.75" customHeight="1">
      <c r="A117" s="27" t="s">
        <v>443</v>
      </c>
      <c r="B117" s="27" t="s">
        <v>444</v>
      </c>
      <c r="C117" s="86" t="s">
        <v>585</v>
      </c>
      <c r="D117" s="3"/>
      <c r="E117" s="51" t="s">
        <v>586</v>
      </c>
      <c r="F117" s="9"/>
      <c r="G117" s="9"/>
      <c r="H117" s="9"/>
      <c r="I117" s="9"/>
      <c r="J117" s="9"/>
      <c r="K117" s="9"/>
      <c r="L117" s="9"/>
      <c r="M117" s="9"/>
      <c r="N117" s="9"/>
      <c r="O117" s="9"/>
      <c r="P117" s="9"/>
      <c r="Q117" s="9"/>
      <c r="R117" s="9"/>
      <c r="S117" s="9"/>
      <c r="T117" s="9"/>
      <c r="U117" s="9"/>
      <c r="V117" s="9"/>
      <c r="W117" s="9"/>
      <c r="X117" s="9"/>
      <c r="Y117" s="9"/>
      <c r="Z117" s="9"/>
    </row>
    <row r="118" ht="63.75" customHeight="1">
      <c r="A118" s="27" t="s">
        <v>445</v>
      </c>
      <c r="B118" s="27" t="s">
        <v>446</v>
      </c>
      <c r="C118" s="91" t="s">
        <v>587</v>
      </c>
      <c r="D118" s="84"/>
      <c r="E118" s="51" t="str">
        <f>IF(C118="","",IF(C118="Yes","Describe how this is accomplished within your system.","Describe any business or technical reasons why customizations are not supported."))</f>
        <v>Describe any business or technical reasons why customizations are not supported.</v>
      </c>
      <c r="F118" s="9"/>
      <c r="G118" s="9"/>
      <c r="H118" s="9"/>
      <c r="I118" s="9"/>
      <c r="J118" s="9"/>
      <c r="K118" s="9"/>
      <c r="L118" s="9"/>
      <c r="M118" s="9"/>
      <c r="N118" s="9"/>
      <c r="O118" s="9"/>
      <c r="P118" s="9"/>
      <c r="Q118" s="9"/>
      <c r="R118" s="9"/>
      <c r="S118" s="9"/>
      <c r="T118" s="9"/>
      <c r="U118" s="9"/>
      <c r="V118" s="9"/>
      <c r="W118" s="9"/>
      <c r="X118" s="9"/>
      <c r="Y118" s="9"/>
      <c r="Z118" s="9"/>
    </row>
    <row r="119" ht="63.75" customHeight="1">
      <c r="A119" s="27" t="s">
        <v>448</v>
      </c>
      <c r="B119" s="27" t="s">
        <v>588</v>
      </c>
      <c r="C119" s="46" t="s">
        <v>92</v>
      </c>
      <c r="D119" s="91" t="s">
        <v>589</v>
      </c>
      <c r="E119" s="51" t="str">
        <f>IF(C119="","",IF(C119="Yes","Describe how this is accomplished within your environment.","Describe your plans to ensure that only application software verifiable as authorized, tested, and approved for production, is placed into production."))</f>
        <v>Describe how this is accomplished within your environment.</v>
      </c>
      <c r="F119" s="9"/>
      <c r="G119" s="9"/>
      <c r="H119" s="9"/>
      <c r="I119" s="9"/>
      <c r="J119" s="9"/>
      <c r="K119" s="9"/>
      <c r="L119" s="9"/>
      <c r="M119" s="9"/>
      <c r="N119" s="9"/>
      <c r="O119" s="9"/>
      <c r="P119" s="9"/>
      <c r="Q119" s="9"/>
      <c r="R119" s="9"/>
      <c r="S119" s="9"/>
      <c r="T119" s="9"/>
      <c r="U119" s="9"/>
      <c r="V119" s="9"/>
      <c r="W119" s="9"/>
      <c r="X119" s="9"/>
      <c r="Y119" s="9"/>
      <c r="Z119" s="9"/>
    </row>
    <row r="120" ht="63.75" customHeight="1">
      <c r="A120" s="27" t="s">
        <v>452</v>
      </c>
      <c r="B120" s="27" t="s">
        <v>453</v>
      </c>
      <c r="C120" s="57" t="s">
        <v>92</v>
      </c>
      <c r="D120" s="83" t="s">
        <v>595</v>
      </c>
      <c r="E120" s="51" t="str">
        <f>IF(C120="","",IF(C120="Yes","Provide a reference to this product's release schedule.","State any plans to release a schedule of product updates."))</f>
        <v>Provide a reference to this product's release schedule.</v>
      </c>
      <c r="F120" s="9"/>
      <c r="G120" s="9"/>
      <c r="H120" s="9"/>
      <c r="I120" s="9"/>
      <c r="J120" s="9"/>
      <c r="K120" s="9"/>
      <c r="L120" s="9"/>
      <c r="M120" s="9"/>
      <c r="N120" s="9"/>
      <c r="O120" s="9"/>
      <c r="P120" s="9"/>
      <c r="Q120" s="9"/>
      <c r="R120" s="9"/>
      <c r="S120" s="9"/>
      <c r="T120" s="9"/>
      <c r="U120" s="9"/>
      <c r="V120" s="9"/>
      <c r="W120" s="9"/>
      <c r="X120" s="9"/>
      <c r="Y120" s="9"/>
      <c r="Z120" s="9"/>
    </row>
    <row r="121" ht="63.75" customHeight="1">
      <c r="A121" s="27" t="s">
        <v>455</v>
      </c>
      <c r="B121" s="27" t="s">
        <v>456</v>
      </c>
      <c r="C121" s="46" t="s">
        <v>92</v>
      </c>
      <c r="D121" s="99" t="s">
        <v>596</v>
      </c>
      <c r="E121" s="51" t="str">
        <f>IF(C121="","",IF(C121="Yes","Provide a reference to your technology roadmap.","State any plans to release a technology roadmap covering the next two years."))</f>
        <v>Provide a reference to your technology roadmap.</v>
      </c>
      <c r="F121" s="9"/>
      <c r="G121" s="9"/>
      <c r="H121" s="9"/>
      <c r="I121" s="9"/>
      <c r="J121" s="9"/>
      <c r="K121" s="9"/>
      <c r="L121" s="9"/>
      <c r="M121" s="9"/>
      <c r="N121" s="9"/>
      <c r="O121" s="9"/>
      <c r="P121" s="9"/>
      <c r="Q121" s="9"/>
      <c r="R121" s="9"/>
      <c r="S121" s="9"/>
      <c r="T121" s="9"/>
      <c r="U121" s="9"/>
      <c r="V121" s="9"/>
      <c r="W121" s="9"/>
      <c r="X121" s="9"/>
      <c r="Y121" s="9"/>
      <c r="Z121" s="9"/>
    </row>
    <row r="122" ht="63.75" customHeight="1">
      <c r="A122" s="27" t="s">
        <v>457</v>
      </c>
      <c r="B122" s="27" t="s">
        <v>458</v>
      </c>
      <c r="C122" s="46" t="s">
        <v>85</v>
      </c>
      <c r="D122" s="84" t="s">
        <v>608</v>
      </c>
      <c r="E122" s="51" t="str">
        <f>IF(C122="","",IF(C122="Yes","Summarize the Institution's responsibilities during product updates.",""))</f>
        <v/>
      </c>
      <c r="F122" s="9"/>
      <c r="G122" s="9"/>
      <c r="H122" s="9"/>
      <c r="I122" s="9"/>
      <c r="J122" s="9"/>
      <c r="K122" s="9"/>
      <c r="L122" s="9"/>
      <c r="M122" s="9"/>
      <c r="N122" s="9"/>
      <c r="O122" s="9"/>
      <c r="P122" s="9"/>
      <c r="Q122" s="9"/>
      <c r="R122" s="9"/>
      <c r="S122" s="9"/>
      <c r="T122" s="9"/>
      <c r="U122" s="9"/>
      <c r="V122" s="9"/>
      <c r="W122" s="9"/>
      <c r="X122" s="9"/>
      <c r="Y122" s="9"/>
      <c r="Z122" s="9"/>
    </row>
    <row r="123" ht="63.75" customHeight="1">
      <c r="A123" s="27" t="s">
        <v>459</v>
      </c>
      <c r="B123" s="27" t="s">
        <v>460</v>
      </c>
      <c r="C123" s="46" t="s">
        <v>92</v>
      </c>
      <c r="D123" s="100" t="s">
        <v>623</v>
      </c>
      <c r="E123" s="51" t="str">
        <f>IF(C123="","",IF(C123="Yes","Summarize the policy and procedure(s) managing how critical patches are applied to systems and applications.","State your plans to implement policy and procedure(s) to manage how critical patches are applied to systems and applications."))</f>
        <v>Summarize the policy and procedure(s) managing how critical patches are applied to systems and applications.</v>
      </c>
      <c r="F123" s="9"/>
      <c r="G123" s="9"/>
      <c r="H123" s="9"/>
      <c r="I123" s="9"/>
      <c r="J123" s="9"/>
      <c r="K123" s="9"/>
      <c r="L123" s="9"/>
      <c r="M123" s="9"/>
      <c r="N123" s="9"/>
      <c r="O123" s="9"/>
      <c r="P123" s="9"/>
      <c r="Q123" s="9"/>
      <c r="R123" s="9"/>
      <c r="S123" s="9"/>
      <c r="T123" s="9"/>
      <c r="U123" s="9"/>
      <c r="V123" s="9"/>
      <c r="W123" s="9"/>
      <c r="X123" s="9"/>
      <c r="Y123" s="9"/>
      <c r="Z123" s="9"/>
    </row>
    <row r="124" ht="138.75" customHeight="1">
      <c r="A124" s="27" t="s">
        <v>463</v>
      </c>
      <c r="B124" s="27" t="s">
        <v>464</v>
      </c>
      <c r="C124" s="46" t="s">
        <v>92</v>
      </c>
      <c r="D124" s="91" t="s">
        <v>634</v>
      </c>
      <c r="E124" s="51" t="str">
        <f>IF(C124="","",IF(C124="Yes","Summarize the policy and procedure(s) guiding risk mitigation practices before critical patches can be applied.","State your plans to implement policy and procedure(s) guiding risk mitigation practices before critical patches can be applied."))</f>
        <v>Summarize the policy and procedure(s) guiding risk mitigation practices before critical patches can be applied.</v>
      </c>
      <c r="F124" s="9"/>
      <c r="G124" s="9"/>
      <c r="H124" s="9"/>
      <c r="I124" s="9"/>
      <c r="J124" s="9"/>
      <c r="K124" s="9"/>
      <c r="L124" s="9"/>
      <c r="M124" s="9"/>
      <c r="N124" s="9"/>
      <c r="O124" s="9"/>
      <c r="P124" s="9"/>
      <c r="Q124" s="9"/>
      <c r="R124" s="9"/>
      <c r="S124" s="9"/>
      <c r="T124" s="9"/>
      <c r="U124" s="9"/>
      <c r="V124" s="9"/>
      <c r="W124" s="9"/>
      <c r="X124" s="9"/>
      <c r="Y124" s="9"/>
      <c r="Z124" s="9"/>
    </row>
    <row r="125" ht="48.0" customHeight="1">
      <c r="A125" s="27" t="s">
        <v>467</v>
      </c>
      <c r="B125" s="27" t="s">
        <v>469</v>
      </c>
      <c r="C125" s="46" t="s">
        <v>92</v>
      </c>
      <c r="D125" s="100" t="s">
        <v>642</v>
      </c>
      <c r="E125" s="51" t="str">
        <f>IF(C125="","",IF(C125="Yes","Define current off-peak hours.","Decribe plans to minimize the impact of downtime based on predefined off-peak hours."))</f>
        <v>Define current off-peak hours.</v>
      </c>
      <c r="F125" s="9"/>
      <c r="G125" s="9"/>
      <c r="H125" s="9"/>
      <c r="I125" s="9"/>
      <c r="J125" s="9"/>
      <c r="K125" s="9"/>
      <c r="L125" s="9"/>
      <c r="M125" s="9"/>
      <c r="N125" s="9"/>
      <c r="O125" s="9"/>
      <c r="P125" s="9"/>
      <c r="Q125" s="9"/>
      <c r="R125" s="9"/>
      <c r="S125" s="9"/>
      <c r="T125" s="9"/>
      <c r="U125" s="9"/>
      <c r="V125" s="9"/>
      <c r="W125" s="9"/>
      <c r="X125" s="9"/>
      <c r="Y125" s="9"/>
      <c r="Z125" s="9"/>
    </row>
    <row r="126" ht="48.0" customHeight="1">
      <c r="A126" s="27" t="s">
        <v>472</v>
      </c>
      <c r="B126" s="27" t="s">
        <v>473</v>
      </c>
      <c r="C126" s="46" t="s">
        <v>92</v>
      </c>
      <c r="D126" s="100" t="s">
        <v>652</v>
      </c>
      <c r="E126" s="51" t="str">
        <f>IF(C126="","",IF(C126="Yes","Summarize implemented procedures ensuring that emergency changes are documented and authorized.","Describe plans to implement procedure ensuring that emergency changes are documented and authorized."))</f>
        <v>Summarize implemented procedures ensuring that emergency changes are documented and authorized.</v>
      </c>
      <c r="F126" s="9"/>
      <c r="G126" s="9"/>
      <c r="H126" s="9"/>
      <c r="I126" s="9"/>
      <c r="J126" s="9"/>
      <c r="K126" s="9"/>
      <c r="L126" s="9"/>
      <c r="M126" s="9"/>
      <c r="N126" s="9"/>
      <c r="O126" s="9"/>
      <c r="P126" s="9"/>
      <c r="Q126" s="9"/>
      <c r="R126" s="9"/>
      <c r="S126" s="9"/>
      <c r="T126" s="9"/>
      <c r="U126" s="9"/>
      <c r="V126" s="9"/>
      <c r="W126" s="9"/>
      <c r="X126" s="9"/>
      <c r="Y126" s="9"/>
      <c r="Z126" s="9"/>
    </row>
    <row r="127" ht="36.0" customHeight="1">
      <c r="A127" s="18" t="str">
        <f>IF($C$30="","Data",IF($C$30="Yes","Data - Optional based on QUALIFIER response.","Data"))</f>
        <v>Data</v>
      </c>
      <c r="B127" s="3"/>
      <c r="C127" s="20" t="s">
        <v>79</v>
      </c>
      <c r="D127" s="20" t="s">
        <v>80</v>
      </c>
      <c r="E127" s="45" t="s">
        <v>81</v>
      </c>
      <c r="Z127" s="9"/>
    </row>
    <row r="128" ht="48.0" customHeight="1">
      <c r="A128" s="27" t="s">
        <v>475</v>
      </c>
      <c r="B128" s="27" t="s">
        <v>476</v>
      </c>
      <c r="C128" s="46" t="s">
        <v>92</v>
      </c>
      <c r="D128" s="36" t="s">
        <v>653</v>
      </c>
      <c r="E128" s="51" t="str">
        <f>IF(C128="","",IF(C128="Yes","Describe or provide a reference to how institution data is physically and logically separated from that of other customers.","Describe your plan to physically and logically separate Institution's data from other customers."))</f>
        <v>Describe or provide a reference to how institution data is physically and logically separated from that of other customers.</v>
      </c>
      <c r="Z128" s="9"/>
    </row>
    <row r="129" ht="48.0" customHeight="1">
      <c r="A129" s="27" t="s">
        <v>480</v>
      </c>
      <c r="B129" s="27" t="s">
        <v>481</v>
      </c>
      <c r="C129" s="46" t="s">
        <v>85</v>
      </c>
      <c r="D129" s="76"/>
      <c r="E129" s="51" t="str">
        <f>IF(C129="","",IF(C129="Yes","State the need for this strategy, in detail.",""))</f>
        <v/>
      </c>
      <c r="Z129" s="9"/>
    </row>
    <row r="130" ht="48.0" customHeight="1">
      <c r="A130" s="27" t="s">
        <v>486</v>
      </c>
      <c r="B130" s="27" t="s">
        <v>487</v>
      </c>
      <c r="C130" s="46" t="s">
        <v>92</v>
      </c>
      <c r="D130" s="89" t="s">
        <v>664</v>
      </c>
      <c r="E130" s="51" t="str">
        <f>IF(C130="","",IF(C130="Yes","Summarize your transport encryption strategy.","Decribe why sensitive data in not encrypted in transport."))</f>
        <v>Summarize your transport encryption strategy.</v>
      </c>
      <c r="Z130" s="9"/>
    </row>
    <row r="131" ht="48.0" customHeight="1">
      <c r="A131" s="27" t="s">
        <v>491</v>
      </c>
      <c r="B131" s="27" t="s">
        <v>492</v>
      </c>
      <c r="C131" s="46" t="s">
        <v>92</v>
      </c>
      <c r="D131" s="89" t="s">
        <v>671</v>
      </c>
      <c r="E131" s="51" t="str">
        <f>IF(C131="","",IF(C131="Yes","Summarize your data encryption strategy.","Decribe why sensitive data in not encrypted in storage."))</f>
        <v>Summarize your data encryption strategy.</v>
      </c>
      <c r="Z131" s="9"/>
    </row>
    <row r="132" ht="48.0" customHeight="1">
      <c r="A132" s="27" t="s">
        <v>497</v>
      </c>
      <c r="B132" s="27" t="s">
        <v>498</v>
      </c>
      <c r="C132" s="46" t="s">
        <v>85</v>
      </c>
      <c r="D132" s="76"/>
      <c r="E132" s="51" t="str">
        <f>IF(C132="","",IF(C132="Yes","Provide a detailed description of all non-conforming modules.",""))</f>
        <v/>
      </c>
      <c r="Z132" s="9"/>
    </row>
    <row r="133" ht="64.5" customHeight="1">
      <c r="A133" s="27" t="s">
        <v>500</v>
      </c>
      <c r="B133" s="27" t="s">
        <v>501</v>
      </c>
      <c r="C133" s="46" t="s">
        <v>92</v>
      </c>
      <c r="D133" s="36" t="s">
        <v>686</v>
      </c>
      <c r="E133" s="51" t="str">
        <f>IF(C133="","","Include all types of encryption; remote-access, application/database, end-user-to-system, etc.")</f>
        <v>Include all types of encryption; remote-access, application/database, end-user-to-system, etc.</v>
      </c>
      <c r="Z133" s="9"/>
    </row>
    <row r="134" ht="60.0" customHeight="1">
      <c r="A134" s="27" t="s">
        <v>504</v>
      </c>
      <c r="B134" s="27" t="s">
        <v>505</v>
      </c>
      <c r="C134" s="84" t="s">
        <v>687</v>
      </c>
      <c r="D134" s="92"/>
      <c r="E134" s="51" t="s">
        <v>688</v>
      </c>
      <c r="Z134" s="9"/>
    </row>
    <row r="135" ht="48.0" customHeight="1">
      <c r="A135" s="27" t="s">
        <v>508</v>
      </c>
      <c r="B135" s="27" t="s">
        <v>509</v>
      </c>
      <c r="C135" s="46" t="s">
        <v>92</v>
      </c>
      <c r="D135" s="76"/>
      <c r="E135" s="51" t="str">
        <f>IF(C135="","",IF(C135="Yes","Describe how data will be returned to the institution and in what format will it be presented.","Summarize why the institution's data won't be returned."))</f>
        <v>Describe how data will be returned to the institution and in what format will it be presented.</v>
      </c>
      <c r="Z135" s="9"/>
    </row>
    <row r="136" ht="48.0" customHeight="1">
      <c r="A136" s="27" t="s">
        <v>511</v>
      </c>
      <c r="B136" s="27" t="s">
        <v>512</v>
      </c>
      <c r="C136" s="57" t="s">
        <v>92</v>
      </c>
      <c r="D136" s="84" t="s">
        <v>689</v>
      </c>
      <c r="E136" s="51" t="str">
        <f>IF(C136="","",IF(C136="Yes","State the length of time that Institution's data will be available in the system at the completion of the contract.","Describe your data export procedures conducted at the termination of contract."))</f>
        <v>State the length of time that Institution's data will be available in the system at the completion of the contract.</v>
      </c>
      <c r="Z136" s="9"/>
    </row>
    <row r="137" ht="48.0" customHeight="1">
      <c r="A137" s="27" t="s">
        <v>513</v>
      </c>
      <c r="B137" s="27" t="s">
        <v>514</v>
      </c>
      <c r="C137" s="46" t="s">
        <v>85</v>
      </c>
      <c r="D137" s="76"/>
      <c r="E137" s="51" t="str">
        <f>IF(C137="","",IF(C137="Yes","Describe frequency and procedures for obtaining a full backup of data.","Summarize why the institution cannot extract a full backup of its data."))</f>
        <v>Summarize why the institution cannot extract a full backup of its data.</v>
      </c>
      <c r="Z137" s="9"/>
    </row>
    <row r="138" ht="48.0" customHeight="1">
      <c r="A138" s="27" t="s">
        <v>517</v>
      </c>
      <c r="B138" s="27" t="s">
        <v>518</v>
      </c>
      <c r="C138" s="46" t="s">
        <v>92</v>
      </c>
      <c r="D138" s="76"/>
      <c r="E138" s="51" t="str">
        <f>IF(C138="","",IF(C138="Yes","Provide reference to your data ownership documention.","Describe in detail why ownership rights are not retained by the institution."))</f>
        <v>Provide reference to your data ownership documention.</v>
      </c>
      <c r="Z138" s="9"/>
    </row>
    <row r="139" ht="48.0" customHeight="1">
      <c r="A139" s="27" t="s">
        <v>520</v>
      </c>
      <c r="B139" s="27" t="s">
        <v>522</v>
      </c>
      <c r="C139" s="46" t="s">
        <v>92</v>
      </c>
      <c r="D139" s="76" t="s">
        <v>710</v>
      </c>
      <c r="E139" s="51" t="str">
        <f>IF(C139="","",IF(C139="Yes","Provide references, as needed.","Provide a detailed description why rights are not retained."))</f>
        <v>Provide references, as needed.</v>
      </c>
      <c r="Z139" s="9"/>
    </row>
    <row r="140" ht="54.0" customHeight="1">
      <c r="A140" s="27" t="s">
        <v>523</v>
      </c>
      <c r="B140" s="27" t="s">
        <v>524</v>
      </c>
      <c r="C140" s="46" t="s">
        <v>92</v>
      </c>
      <c r="D140" s="76"/>
      <c r="E140" s="51" t="str">
        <f>IF(C140="","",IF(C140="Yes","State how the institution will be notified of imminent termination.","Provide a detailed summary to support your selection."))</f>
        <v>State how the institution will be notified of imminent termination.</v>
      </c>
      <c r="Z140" s="9"/>
    </row>
    <row r="141" ht="48.0" customHeight="1">
      <c r="A141" s="27" t="s">
        <v>527</v>
      </c>
      <c r="B141" s="27" t="s">
        <v>528</v>
      </c>
      <c r="C141" s="88" t="s">
        <v>728</v>
      </c>
      <c r="D141" s="3"/>
      <c r="E141" s="51" t="s">
        <v>731</v>
      </c>
      <c r="Z141" s="9"/>
    </row>
    <row r="142" ht="48.0" customHeight="1">
      <c r="A142" s="27" t="s">
        <v>533</v>
      </c>
      <c r="B142" s="27" t="s">
        <v>534</v>
      </c>
      <c r="C142" s="46" t="s">
        <v>92</v>
      </c>
      <c r="D142" s="76"/>
      <c r="E142" s="51" t="str">
        <f>IF(C142="","",IF(C142="Yes","Summarize your backup scheduling strategy.","Describe plans to implement pre-defined schedules for secure backups."))</f>
        <v>Summarize your backup scheduling strategy.</v>
      </c>
      <c r="Z142" s="9"/>
    </row>
    <row r="143" ht="48.0" customHeight="1">
      <c r="A143" s="27" t="s">
        <v>535</v>
      </c>
      <c r="B143" s="27" t="s">
        <v>536</v>
      </c>
      <c r="C143" s="88" t="s">
        <v>732</v>
      </c>
      <c r="D143" s="3"/>
      <c r="E143" s="51" t="s">
        <v>733</v>
      </c>
      <c r="Z143" s="9"/>
    </row>
    <row r="144" ht="48.0" customHeight="1">
      <c r="A144" s="27" t="s">
        <v>537</v>
      </c>
      <c r="B144" s="27" t="s">
        <v>538</v>
      </c>
      <c r="C144" s="46" t="s">
        <v>92</v>
      </c>
      <c r="D144" s="76" t="s">
        <v>734</v>
      </c>
      <c r="E144" s="51" t="str">
        <f>IF(C144="","",IF(C144="Yes","Summarize the encryption algorithm/strategy you are using to secure backups.","Summarize why backups are not encrypted."))</f>
        <v>Summarize the encryption algorithm/strategy you are using to secure backups.</v>
      </c>
      <c r="Z144" s="9"/>
    </row>
    <row r="145" ht="72.0" customHeight="1">
      <c r="A145" s="27" t="s">
        <v>540</v>
      </c>
      <c r="B145" s="27" t="s">
        <v>735</v>
      </c>
      <c r="C145" s="46" t="s">
        <v>92</v>
      </c>
      <c r="D145" s="91" t="s">
        <v>737</v>
      </c>
      <c r="E145" s="51" t="str">
        <f>IF(C145="","",IF(C145="Yes","Summarize your cryptographic key management process.","Provide a brief summary supporting your response."))</f>
        <v>Summarize your cryptographic key management process.</v>
      </c>
      <c r="Z145" s="9"/>
    </row>
    <row r="146" ht="48.0" customHeight="1">
      <c r="A146" s="27" t="s">
        <v>545</v>
      </c>
      <c r="B146" s="27" t="s">
        <v>546</v>
      </c>
      <c r="C146" s="46" t="s">
        <v>92</v>
      </c>
      <c r="D146" s="76"/>
      <c r="E146" s="51" t="str">
        <f>IF(C146="","",IF(C146="Yes","Decribe your overall strategy to accomplish these elements.","State plans to include the elements listed in DATA-20 in your backup strategy."))</f>
        <v>Decribe your overall strategy to accomplish these elements.</v>
      </c>
      <c r="Z146" s="9"/>
    </row>
    <row r="147" ht="48.0" customHeight="1">
      <c r="A147" s="27" t="s">
        <v>549</v>
      </c>
      <c r="B147" s="27" t="s">
        <v>550</v>
      </c>
      <c r="C147" s="46" t="s">
        <v>92</v>
      </c>
      <c r="D147" s="76"/>
      <c r="E147" s="51" t="str">
        <f>IF(C147="","",IF(C147="Yes","Summarize your off site backup strategy.","State any plans to implement off site physical backups in your environment."))</f>
        <v>Summarize your off site backup strategy.</v>
      </c>
      <c r="Z147" s="9"/>
    </row>
    <row r="148" ht="48.0" customHeight="1">
      <c r="A148" s="27" t="s">
        <v>552</v>
      </c>
      <c r="B148" s="27" t="s">
        <v>553</v>
      </c>
      <c r="C148" s="46" t="s">
        <v>85</v>
      </c>
      <c r="D148" s="76"/>
      <c r="E148" s="51" t="str">
        <f>IF(C148="","",IF(C148="Yes","Provide the distance (in miles) between the primary and off-site locations.","State any plans to implement off site physical backups in your environment."))</f>
        <v>State any plans to implement off site physical backups in your environment.</v>
      </c>
      <c r="Z148" s="9"/>
    </row>
    <row r="149" ht="48.0" customHeight="1">
      <c r="A149" s="27" t="s">
        <v>556</v>
      </c>
      <c r="B149" s="27" t="s">
        <v>557</v>
      </c>
      <c r="C149" s="46" t="s">
        <v>85</v>
      </c>
      <c r="D149" s="76"/>
      <c r="E149" s="51" t="str">
        <f>IF(C149="","",IF(C149="Yes","Summarize why backups containing the Institution's data leave the Institution's data zone.",""))</f>
        <v/>
      </c>
      <c r="Z149" s="9"/>
    </row>
    <row r="150" ht="72.75" customHeight="1">
      <c r="A150" s="27" t="s">
        <v>558</v>
      </c>
      <c r="B150" s="27" t="s">
        <v>770</v>
      </c>
      <c r="C150" s="46" t="s">
        <v>85</v>
      </c>
      <c r="D150" s="91" t="s">
        <v>771</v>
      </c>
      <c r="E150" s="51" t="str">
        <f>IF(C150="","",IF(C150="Yes","Provide details of these procedures (link or attached).","Provide a detailed summary for this response."))</f>
        <v>Provide a detailed summary for this response.</v>
      </c>
      <c r="Z150" s="9"/>
    </row>
    <row r="151" ht="48.0" customHeight="1">
      <c r="A151" s="27" t="s">
        <v>564</v>
      </c>
      <c r="B151" s="27" t="s">
        <v>565</v>
      </c>
      <c r="C151" s="46" t="s">
        <v>92</v>
      </c>
      <c r="D151" s="76"/>
      <c r="E151" s="51" t="str">
        <f>IF(C151="","",IF(C151="Yes","","State plans to adhere to DoD 5220.22-M and/or NIST SP 800-88 standards."))</f>
        <v/>
      </c>
      <c r="Z151" s="9"/>
    </row>
    <row r="152" ht="48.0" customHeight="1">
      <c r="A152" s="27" t="s">
        <v>569</v>
      </c>
      <c r="B152" s="27" t="s">
        <v>570</v>
      </c>
      <c r="C152" s="46" t="s">
        <v>92</v>
      </c>
      <c r="D152" s="95" t="s">
        <v>794</v>
      </c>
      <c r="E152" s="51" t="str">
        <f>IF(C152="","",IF(C152="Yes","Provide a general summary of your long-term data retention strategy.","State plans to implement a long-term data retention strategy."))</f>
        <v>Provide a general summary of your long-term data retention strategy.</v>
      </c>
      <c r="Z152" s="9"/>
    </row>
    <row r="153" ht="48.0" customHeight="1">
      <c r="A153" s="27" t="s">
        <v>574</v>
      </c>
      <c r="B153" s="27" t="s">
        <v>575</v>
      </c>
      <c r="C153" s="46" t="s">
        <v>92</v>
      </c>
      <c r="D153" s="76"/>
      <c r="E153" s="51" t="str">
        <f>IF(C153="","",IF(C153="Yes","Provide a general summary of your archival environment.","State plans to store long-term media in environmentally protected areas."))</f>
        <v>Provide a general summary of your archival environment.</v>
      </c>
      <c r="Z153" s="9"/>
    </row>
    <row r="154" ht="48.0" customHeight="1">
      <c r="A154" s="27" t="s">
        <v>579</v>
      </c>
      <c r="B154" s="27" t="s">
        <v>580</v>
      </c>
      <c r="C154" s="46" t="s">
        <v>92</v>
      </c>
      <c r="D154" s="76"/>
      <c r="E154" s="51" t="str">
        <f>IF(C154="","",IF(C154="Yes","Describe how FERPA compliance is integrated into your process and procedures.","State plans to handle data in a FERPA compliant manner."))</f>
        <v>Describe how FERPA compliance is integrated into your process and procedures.</v>
      </c>
      <c r="Z154" s="9"/>
    </row>
    <row r="155" ht="48.0" customHeight="1">
      <c r="A155" s="27" t="s">
        <v>581</v>
      </c>
      <c r="B155" s="27" t="s">
        <v>582</v>
      </c>
      <c r="C155" s="46" t="s">
        <v>92</v>
      </c>
      <c r="D155" s="76"/>
      <c r="E155" s="51" t="str">
        <f>IF(C155="","",IF(C155="Yes","Summarize why the Institution's data is visible in system adminitration modules/tools.",""))</f>
        <v>Summarize why the Institution's data is visible in system adminitration modules/tools.</v>
      </c>
      <c r="Z155" s="9"/>
    </row>
    <row r="156" ht="36.0" customHeight="1">
      <c r="A156" s="18" t="str">
        <f>IF($C$30="","Database",IF($C$30="Yes","Database - Optional based on QUALIFIER response.","Database"))</f>
        <v>Database</v>
      </c>
      <c r="B156" s="3"/>
      <c r="C156" s="20" t="s">
        <v>79</v>
      </c>
      <c r="D156" s="20" t="s">
        <v>80</v>
      </c>
      <c r="E156" s="45" t="s">
        <v>81</v>
      </c>
      <c r="Z156" s="9"/>
    </row>
    <row r="157" ht="48.0" customHeight="1">
      <c r="A157" s="27" t="s">
        <v>590</v>
      </c>
      <c r="B157" s="27" t="s">
        <v>591</v>
      </c>
      <c r="C157" s="46" t="s">
        <v>92</v>
      </c>
      <c r="D157" s="76" t="s">
        <v>837</v>
      </c>
      <c r="E157" s="51" t="str">
        <f>IF(C157="","",IF(C157="Yes","Describe the type of encryption that is supported.","State plans to support database encryption (in storage) of specified data elements."))</f>
        <v>Describe the type of encryption that is supported.</v>
      </c>
      <c r="Z157" s="9"/>
    </row>
    <row r="158" ht="48.0" customHeight="1">
      <c r="A158" s="27" t="s">
        <v>592</v>
      </c>
      <c r="B158" s="27" t="s">
        <v>593</v>
      </c>
      <c r="C158" s="46" t="s">
        <v>92</v>
      </c>
      <c r="D158" s="76" t="s">
        <v>837</v>
      </c>
      <c r="E158" s="51" t="str">
        <f>IF(C158="","",IF(C158="Yes","Describe how encryption is leveraged in your database(s).","Describe plans to implement encryption in your database(s)"))</f>
        <v>Describe how encryption is leveraged in your database(s).</v>
      </c>
      <c r="Z158" s="9"/>
    </row>
    <row r="159" ht="36.0" customHeight="1">
      <c r="A159" s="18" t="str">
        <f>IF($C$30="","Datacenter",IF($C$30="Yes","Datacenter - Optional based on QUALIFIER response.","Datacenter"))</f>
        <v>Datacenter</v>
      </c>
      <c r="B159" s="3"/>
      <c r="C159" s="20" t="s">
        <v>79</v>
      </c>
      <c r="D159" s="20" t="s">
        <v>80</v>
      </c>
      <c r="E159" s="45" t="s">
        <v>81</v>
      </c>
      <c r="Z159" s="9"/>
    </row>
    <row r="160" ht="48.75" customHeight="1">
      <c r="A160" s="27" t="s">
        <v>597</v>
      </c>
      <c r="B160" s="27" t="s">
        <v>598</v>
      </c>
      <c r="C160" s="46" t="s">
        <v>85</v>
      </c>
      <c r="D160" s="76"/>
      <c r="E160" s="51" t="str">
        <f>IF(C160="","",IF(C160="Yes","Provide a brief summary of your data center.","Provide a detailed description of where the Institution's data will reside."))</f>
        <v>Provide a detailed description of where the Institution's data will reside.</v>
      </c>
      <c r="Z160" s="9"/>
    </row>
    <row r="161" ht="48.0" customHeight="1">
      <c r="A161" s="27" t="s">
        <v>600</v>
      </c>
      <c r="B161" s="27" t="s">
        <v>601</v>
      </c>
      <c r="C161" s="46" t="s">
        <v>92</v>
      </c>
      <c r="D161" s="103" t="s">
        <v>887</v>
      </c>
      <c r="E161" s="51" t="str">
        <f>IF(C161="","",IF(C161="Yes","Obtain the report if possible and add it to your submission.",""))</f>
        <v>Obtain the report if possible and add it to your submission.</v>
      </c>
      <c r="Z161" s="9"/>
    </row>
    <row r="162" ht="48.0" customHeight="1">
      <c r="A162" s="27" t="s">
        <v>602</v>
      </c>
      <c r="B162" s="27" t="s">
        <v>603</v>
      </c>
      <c r="C162" s="46" t="s">
        <v>92</v>
      </c>
      <c r="D162" s="76" t="s">
        <v>892</v>
      </c>
      <c r="E162" s="51" t="str">
        <f>IF(C162="","",IF(C162="Yes","Describe the on-site staff capabilities.","State any plans to staff data centers 24x7x365."))</f>
        <v>Describe the on-site staff capabilities.</v>
      </c>
      <c r="Z162" s="9"/>
    </row>
    <row r="163" ht="46.5" customHeight="1">
      <c r="A163" s="27" t="s">
        <v>605</v>
      </c>
      <c r="B163" s="27" t="s">
        <v>606</v>
      </c>
      <c r="C163" s="46" t="s">
        <v>92</v>
      </c>
      <c r="D163" s="89" t="s">
        <v>893</v>
      </c>
      <c r="E163" s="51" t="str">
        <f>IF(C163="","",IF(C163="Yes","Provide a brief summary of this arrangement.",""))</f>
        <v>Provide a brief summary of this arrangement.</v>
      </c>
      <c r="Z163" s="9"/>
    </row>
    <row r="164" ht="46.5" customHeight="1">
      <c r="A164" s="27" t="s">
        <v>609</v>
      </c>
      <c r="B164" s="27" t="s">
        <v>610</v>
      </c>
      <c r="C164" s="46" t="s">
        <v>85</v>
      </c>
      <c r="D164" s="76"/>
      <c r="E164" s="51" t="str">
        <f>IF(C164="","",IF(C164="Yes","Describe your physical barrier strategy.","State plans to separate your servers for others via a physical barrier."))</f>
        <v>State plans to separate your servers for others via a physical barrier.</v>
      </c>
      <c r="Z164" s="9"/>
    </row>
    <row r="165" ht="48.0" customHeight="1">
      <c r="A165" s="27" t="s">
        <v>613</v>
      </c>
      <c r="B165" s="27" t="s">
        <v>614</v>
      </c>
      <c r="C165" s="66"/>
      <c r="D165" s="76"/>
      <c r="E165" s="51" t="str">
        <f>IF(C165="","",IF(C165="Yes","Elaborate on your DCTR-05 response, as needed.","State plans to implement a physical barrier to prevent physical contact with any of your devices."))</f>
        <v/>
      </c>
      <c r="Z165" s="9"/>
    </row>
    <row r="166" ht="46.5" customHeight="1">
      <c r="A166" s="27" t="s">
        <v>616</v>
      </c>
      <c r="B166" s="27" t="s">
        <v>617</v>
      </c>
      <c r="C166" s="46" t="s">
        <v>904</v>
      </c>
      <c r="D166" s="89" t="s">
        <v>893</v>
      </c>
      <c r="E166" s="51" t="s">
        <v>905</v>
      </c>
      <c r="Z166" s="9"/>
    </row>
    <row r="167" ht="48.0" customHeight="1">
      <c r="A167" s="27" t="s">
        <v>621</v>
      </c>
      <c r="B167" s="27" t="s">
        <v>622</v>
      </c>
      <c r="C167" s="46" t="s">
        <v>85</v>
      </c>
      <c r="D167" s="76"/>
      <c r="E167" s="51" t="str">
        <f>IF(C167="","",IF(C167="Yes","State the location of the data center and summarize the strategy for this implementation.",""))</f>
        <v/>
      </c>
      <c r="Z167" s="9"/>
    </row>
    <row r="168" ht="48.0" customHeight="1">
      <c r="A168" s="27" t="s">
        <v>624</v>
      </c>
      <c r="B168" s="27" t="s">
        <v>625</v>
      </c>
      <c r="C168" s="46" t="s">
        <v>85</v>
      </c>
      <c r="D168" s="76"/>
      <c r="E168" s="51" t="str">
        <f>IF(C168="","",IF(C168="Yes","Summarize the strategy for removing Institution's data from its Data Zone.",""))</f>
        <v/>
      </c>
      <c r="Z168" s="9"/>
    </row>
    <row r="169" ht="63.75" customHeight="1">
      <c r="A169" s="27" t="s">
        <v>626</v>
      </c>
      <c r="B169" s="27" t="s">
        <v>627</v>
      </c>
      <c r="C169" s="64"/>
      <c r="D169" s="3"/>
      <c r="E169" s="51" t="s">
        <v>906</v>
      </c>
      <c r="Z169" s="9"/>
    </row>
    <row r="170" ht="54.0" customHeight="1">
      <c r="A170" s="27" t="s">
        <v>629</v>
      </c>
      <c r="B170" s="27" t="s">
        <v>630</v>
      </c>
      <c r="C170" s="46" t="s">
        <v>92</v>
      </c>
      <c r="D170" s="76" t="s">
        <v>907</v>
      </c>
      <c r="E170" s="51" t="str">
        <f>IF(C170="","",IF(C170="Yes","State your primary and secondary data center locations. For cloud infrastructures, state the primary and secondary zones.","Decribe any plans to implement a geographically diverse infrastructure."))</f>
        <v>State your primary and secondary data center locations. For cloud infrastructures, state the primary and secondary zones.</v>
      </c>
      <c r="Z170" s="9"/>
    </row>
    <row r="171" ht="48.0" customHeight="1">
      <c r="A171" s="27" t="s">
        <v>632</v>
      </c>
      <c r="B171" s="27" t="s">
        <v>633</v>
      </c>
      <c r="C171" s="46" t="s">
        <v>92</v>
      </c>
      <c r="D171" s="76"/>
      <c r="E171" s="51" t="str">
        <f>IF(C171="","",IF(C171="Yes","Summarize details of the contract, where applicable.","State any plans to implement data location elements in future contracts."))</f>
        <v>Summarize details of the contract, where applicable.</v>
      </c>
      <c r="Z171" s="9"/>
    </row>
    <row r="172" ht="63.75" customHeight="1">
      <c r="A172" s="27" t="s">
        <v>635</v>
      </c>
      <c r="B172" s="27" t="s">
        <v>636</v>
      </c>
      <c r="C172" s="66" t="s">
        <v>925</v>
      </c>
      <c r="D172" s="52" t="s">
        <v>893</v>
      </c>
      <c r="E172" s="51" t="s">
        <v>926</v>
      </c>
      <c r="Z172" s="9"/>
    </row>
    <row r="173" ht="48.0" customHeight="1">
      <c r="A173" s="27" t="s">
        <v>637</v>
      </c>
      <c r="B173" s="27" t="s">
        <v>638</v>
      </c>
      <c r="C173" s="46" t="s">
        <v>92</v>
      </c>
      <c r="D173" s="89" t="s">
        <v>893</v>
      </c>
      <c r="E173" s="51" t="str">
        <f>IF(C173="","",IF(C173="Yes","Provide a summary to support your response selection.","Describe any plans to implement a high availability environment for your systems."))</f>
        <v>Provide a summary to support your response selection.</v>
      </c>
      <c r="F173" s="79"/>
      <c r="G173" s="79"/>
      <c r="H173" s="79"/>
      <c r="I173" s="79"/>
      <c r="J173" s="79"/>
      <c r="K173" s="79"/>
      <c r="L173" s="79"/>
      <c r="M173" s="79"/>
      <c r="N173" s="79"/>
      <c r="O173" s="79"/>
      <c r="P173" s="79"/>
      <c r="Q173" s="79"/>
      <c r="R173" s="79"/>
      <c r="S173" s="79"/>
      <c r="T173" s="79"/>
      <c r="U173" s="79"/>
      <c r="V173" s="79"/>
      <c r="W173" s="79"/>
      <c r="X173" s="79"/>
      <c r="Y173" s="79"/>
      <c r="Z173" s="80"/>
    </row>
    <row r="174" ht="48.0" customHeight="1">
      <c r="A174" s="27" t="s">
        <v>640</v>
      </c>
      <c r="B174" s="27" t="s">
        <v>641</v>
      </c>
      <c r="C174" s="46" t="s">
        <v>92</v>
      </c>
      <c r="D174" s="76" t="s">
        <v>892</v>
      </c>
      <c r="E174" s="51" t="str">
        <f>IF(C174="","",IF(C174="Yes","Provide a detailed description of the implemented strategy. (i.e. batteries, generator)","Provide a brief description."))</f>
        <v>Provide a detailed description of the implemented strategy. (i.e. batteries, generator)</v>
      </c>
      <c r="Z174" s="9"/>
    </row>
    <row r="175" ht="48.0" customHeight="1">
      <c r="A175" s="27" t="s">
        <v>643</v>
      </c>
      <c r="B175" s="27" t="s">
        <v>644</v>
      </c>
      <c r="C175" s="46" t="s">
        <v>92</v>
      </c>
      <c r="D175" s="104" t="s">
        <v>892</v>
      </c>
      <c r="E175" s="51" t="str">
        <f>IF(C175="","",IF(C175="Yes","State how often redundant power strategies are tested and the date of the last successful test.","State plans to implement redundant power testing for your systems."))</f>
        <v>State how often redundant power strategies are tested and the date of the last successful test.</v>
      </c>
      <c r="Z175" s="9"/>
    </row>
    <row r="176" ht="48.0" customHeight="1">
      <c r="A176" s="27" t="s">
        <v>645</v>
      </c>
      <c r="B176" s="27" t="s">
        <v>646</v>
      </c>
      <c r="C176" s="105" t="s">
        <v>892</v>
      </c>
      <c r="D176" s="3"/>
      <c r="E176" s="51" t="s">
        <v>993</v>
      </c>
      <c r="Z176" s="9"/>
    </row>
    <row r="177" ht="48.0" customHeight="1">
      <c r="A177" s="27" t="s">
        <v>648</v>
      </c>
      <c r="B177" s="27" t="s">
        <v>649</v>
      </c>
      <c r="C177" s="88" t="s">
        <v>997</v>
      </c>
      <c r="D177" s="3"/>
      <c r="E177" s="51" t="s">
        <v>1004</v>
      </c>
      <c r="Z177" s="9"/>
    </row>
    <row r="178" ht="48.0" customHeight="1">
      <c r="A178" s="27" t="s">
        <v>650</v>
      </c>
      <c r="B178" s="27" t="s">
        <v>651</v>
      </c>
      <c r="C178" s="46" t="s">
        <v>85</v>
      </c>
      <c r="D178" s="89" t="s">
        <v>997</v>
      </c>
      <c r="E178" s="51" t="str">
        <f>IF(C178="","",IF(C178="Yes","Provide a brief description for each datacenter.","State plans to implement diversity of path in your network provider connections."))</f>
        <v>State plans to implement diversity of path in your network provider connections.</v>
      </c>
      <c r="Z178" s="9"/>
    </row>
    <row r="179" ht="36.0" customHeight="1">
      <c r="A179" s="18" t="str">
        <f>IF(OR($C$28="No",$C$30="Yes"),"DRP - Respond to as many questions below as possible.","Disaster Recovery Plan")</f>
        <v>Disaster Recovery Plan</v>
      </c>
      <c r="B179" s="3"/>
      <c r="C179" s="20" t="s">
        <v>79</v>
      </c>
      <c r="D179" s="20" t="s">
        <v>80</v>
      </c>
      <c r="E179" s="45" t="s">
        <v>81</v>
      </c>
      <c r="Z179" s="9"/>
    </row>
    <row r="180" ht="48.0" customHeight="1">
      <c r="A180" s="27" t="s">
        <v>654</v>
      </c>
      <c r="B180" s="27" t="s">
        <v>655</v>
      </c>
      <c r="C180" s="88" t="s">
        <v>1043</v>
      </c>
      <c r="D180" s="3"/>
      <c r="E180" s="51" t="s">
        <v>1046</v>
      </c>
      <c r="Z180" s="9"/>
    </row>
    <row r="181" ht="46.5" customHeight="1">
      <c r="A181" s="27" t="s">
        <v>656</v>
      </c>
      <c r="B181" s="27" t="s">
        <v>657</v>
      </c>
      <c r="C181" s="46" t="s">
        <v>92</v>
      </c>
      <c r="D181" s="76"/>
      <c r="E181" s="51" t="str">
        <f>IF(C181="","",IF(C181="Yes","State the responsible owner, or position title.","State plans to assign an owner responsible of the maintenance and review of the DRP."))</f>
        <v>State the responsible owner, or position title.</v>
      </c>
      <c r="Z181" s="9"/>
    </row>
    <row r="182" ht="46.5" customHeight="1">
      <c r="A182" s="27" t="s">
        <v>659</v>
      </c>
      <c r="B182" s="27" t="s">
        <v>660</v>
      </c>
      <c r="C182" s="46" t="s">
        <v>85</v>
      </c>
      <c r="D182" s="76"/>
      <c r="E182" s="51" t="str">
        <f>IF(C182="","",IF(C182="Yes","Provide DRP with your submission of this fully-populated HECVAT.",""))</f>
        <v/>
      </c>
      <c r="Z182" s="9"/>
    </row>
    <row r="183" ht="46.5" customHeight="1">
      <c r="A183" s="27" t="s">
        <v>661</v>
      </c>
      <c r="B183" s="27" t="s">
        <v>662</v>
      </c>
      <c r="C183" s="46" t="s">
        <v>85</v>
      </c>
      <c r="D183" s="76"/>
      <c r="E183" s="51" t="str">
        <f>IF(C183="","",IF(C183="Yes","List all locations outside of the U.S. and provide a brief summary of each.",""))</f>
        <v/>
      </c>
      <c r="Z183" s="9"/>
    </row>
    <row r="184" ht="46.5" customHeight="1">
      <c r="A184" s="27" t="s">
        <v>665</v>
      </c>
      <c r="B184" s="27" t="s">
        <v>666</v>
      </c>
      <c r="C184" s="46" t="s">
        <v>85</v>
      </c>
      <c r="D184" s="76"/>
      <c r="E184" s="51" t="str">
        <f>IF(C184="","",IF(C184="Yes","Summarize your disaster recovery strategy including the type of availability your disaster recovery site provides.","Describe your recovery plans if your primary location is unavailable."))</f>
        <v>Describe your recovery plans if your primary location is unavailable.</v>
      </c>
      <c r="Z184" s="9"/>
    </row>
    <row r="185" ht="46.5" customHeight="1">
      <c r="A185" s="27" t="s">
        <v>667</v>
      </c>
      <c r="B185" s="27" t="s">
        <v>668</v>
      </c>
      <c r="C185" s="66"/>
      <c r="D185" s="76"/>
      <c r="E185" s="51" t="str">
        <f>IF(C185="","",IF(C185="Yes","Summarize your disaster recovery relocation testing strategy.","State plans to implement disaster recovery relocation testing."))</f>
        <v/>
      </c>
      <c r="Z185" s="9"/>
    </row>
    <row r="186" ht="46.5" customHeight="1">
      <c r="A186" s="27" t="s">
        <v>669</v>
      </c>
      <c r="B186" s="27" t="s">
        <v>670</v>
      </c>
      <c r="C186" s="46" t="s">
        <v>92</v>
      </c>
      <c r="D186" s="76" t="s">
        <v>1065</v>
      </c>
      <c r="E186" s="51" t="str">
        <f>IF(C186="","",IF(C186="Yes","Summarize your problem/issue escalation plan.","Describe your plans to implement a problem/issue escalation plan in your DRP."))</f>
        <v>Summarize your problem/issue escalation plan.</v>
      </c>
      <c r="Z186" s="9"/>
    </row>
    <row r="187" ht="46.5" customHeight="1">
      <c r="A187" s="27" t="s">
        <v>672</v>
      </c>
      <c r="B187" s="27" t="s">
        <v>673</v>
      </c>
      <c r="C187" s="46" t="s">
        <v>92</v>
      </c>
      <c r="D187" s="76" t="s">
        <v>1066</v>
      </c>
      <c r="E187" s="51" t="str">
        <f>IF(C187="","",IF(C187="Yes","Summarize your documented communication plan in your DRP.","Describe your plans to implement a documented communication plan in your DRP."))</f>
        <v>Summarize your documented communication plan in your DRP.</v>
      </c>
      <c r="Z187" s="9"/>
    </row>
    <row r="188" ht="46.5" customHeight="1">
      <c r="A188" s="27" t="s">
        <v>674</v>
      </c>
      <c r="B188" s="27" t="s">
        <v>675</v>
      </c>
      <c r="C188" s="88" t="s">
        <v>1069</v>
      </c>
      <c r="D188" s="3"/>
      <c r="E188" s="51" t="s">
        <v>1071</v>
      </c>
      <c r="Z188" s="9"/>
    </row>
    <row r="189" ht="63.75" customHeight="1">
      <c r="A189" s="27" t="s">
        <v>676</v>
      </c>
      <c r="B189" s="27" t="s">
        <v>677</v>
      </c>
      <c r="C189" s="57" t="s">
        <v>92</v>
      </c>
      <c r="D189" s="83" t="s">
        <v>1073</v>
      </c>
      <c r="E189" s="51" t="str">
        <f>IF(C189="","",IF(C189="Yes","Provide a summary of the results, including actual recovery time.","State the date of your next planned DRP test."))</f>
        <v>Provide a summary of the results, including actual recovery time.</v>
      </c>
      <c r="Z189" s="9"/>
    </row>
    <row r="190" ht="63.75" customHeight="1">
      <c r="A190" s="27" t="s">
        <v>678</v>
      </c>
      <c r="B190" s="27" t="s">
        <v>679</v>
      </c>
      <c r="C190" s="46" t="s">
        <v>92</v>
      </c>
      <c r="D190" s="76"/>
      <c r="E190" s="51" t="str">
        <f>IF(C190="","",IF(C190="Yes","Summarize your recovery time capabilities observations.","Describe plans to implement appropriate tests to identify actual recovery time capabilities."))</f>
        <v>Summarize your recovery time capabilities observations.</v>
      </c>
      <c r="Z190" s="9"/>
    </row>
    <row r="191" ht="48.0" customHeight="1">
      <c r="A191" s="27" t="s">
        <v>681</v>
      </c>
      <c r="B191" s="27" t="s">
        <v>682</v>
      </c>
      <c r="C191" s="46" t="s">
        <v>92</v>
      </c>
      <c r="D191" s="89" t="s">
        <v>1091</v>
      </c>
      <c r="E191" s="51" t="str">
        <f>IF(C191="","",IF(C191="Yes","Summarize your DRP review and update processes and/or procedures.","State plans to implement annual (at a minimum) testing of your DRP."))</f>
        <v>Summarize your DRP review and update processes and/or procedures.</v>
      </c>
      <c r="Z191" s="9"/>
    </row>
    <row r="192" ht="48.0" customHeight="1">
      <c r="A192" s="27" t="s">
        <v>683</v>
      </c>
      <c r="B192" s="27" t="s">
        <v>684</v>
      </c>
      <c r="C192" s="46" t="s">
        <v>92</v>
      </c>
      <c r="D192" s="89" t="s">
        <v>1097</v>
      </c>
      <c r="E192" s="51" t="str">
        <f>IF(C192="","",IF(C192="Yes","Summarize your cyber insurance strategy.","Descibe any plans to carry cyber-risk insurance in the future."))</f>
        <v>Summarize your cyber insurance strategy.</v>
      </c>
      <c r="Z192" s="9"/>
    </row>
    <row r="193" ht="36.0" customHeight="1">
      <c r="A193" s="18" t="str">
        <f>IF($C$30="","Firewalls, IDS, IPS, and Networking",IF($C$30="Yes","FW/IDPS/Networks - Optional based on QUALIFIER response.","Firewalls, IDS, IPS, and Networking"))</f>
        <v>Firewalls, IDS, IPS, and Networking</v>
      </c>
      <c r="B193" s="3"/>
      <c r="C193" s="20" t="s">
        <v>79</v>
      </c>
      <c r="D193" s="20" t="s">
        <v>80</v>
      </c>
      <c r="E193" s="45" t="s">
        <v>81</v>
      </c>
      <c r="Z193" s="9"/>
    </row>
    <row r="194" ht="48.0" customHeight="1">
      <c r="A194" s="27" t="s">
        <v>690</v>
      </c>
      <c r="B194" s="27" t="s">
        <v>691</v>
      </c>
      <c r="C194" s="46" t="s">
        <v>92</v>
      </c>
      <c r="D194" s="36" t="s">
        <v>1098</v>
      </c>
      <c r="E194" s="51" t="str">
        <f>IF(C194="","",IF(C194="Yes","Describe the currently implemented WAF.","Describe compensating controls that protect your web application, if applicable."))</f>
        <v>Describe the currently implemented WAF.</v>
      </c>
      <c r="Z194" s="9"/>
    </row>
    <row r="195" ht="48.0" customHeight="1">
      <c r="A195" s="27" t="s">
        <v>694</v>
      </c>
      <c r="B195" s="27" t="s">
        <v>695</v>
      </c>
      <c r="C195" s="46" t="s">
        <v>85</v>
      </c>
      <c r="D195" s="76"/>
      <c r="E195" s="51" t="str">
        <f>IF(C195="","",IF(C195="Yes","Describe the currently implemented SPI firewall.","Describe any plans to implement a SPI firewall."))</f>
        <v>Describe any plans to implement a SPI firewall.</v>
      </c>
      <c r="Z195" s="9"/>
    </row>
    <row r="196" ht="48.0" customHeight="1">
      <c r="A196" s="27" t="s">
        <v>696</v>
      </c>
      <c r="B196" s="27" t="s">
        <v>697</v>
      </c>
      <c r="C196" s="88" t="s">
        <v>1099</v>
      </c>
      <c r="D196" s="3"/>
      <c r="E196" s="51" t="s">
        <v>1100</v>
      </c>
      <c r="Z196" s="9"/>
    </row>
    <row r="197" ht="57.75" customHeight="1">
      <c r="A197" s="27" t="s">
        <v>699</v>
      </c>
      <c r="B197" s="27" t="s">
        <v>700</v>
      </c>
      <c r="C197" s="46" t="s">
        <v>92</v>
      </c>
      <c r="D197" s="95" t="s">
        <v>1101</v>
      </c>
      <c r="E197" s="51" t="str">
        <f>IF(C197="","",IF(C197="Yes","Describe your documented firewall change request policy.","Describe your plans to implement a documented policy for firewall change requests."))</f>
        <v>Describe your documented firewall change request policy.</v>
      </c>
      <c r="Z197" s="9"/>
    </row>
    <row r="198" ht="48.0" customHeight="1">
      <c r="A198" s="27" t="s">
        <v>701</v>
      </c>
      <c r="B198" s="27" t="s">
        <v>702</v>
      </c>
      <c r="C198" s="46" t="s">
        <v>92</v>
      </c>
      <c r="D198" s="76" t="s">
        <v>1102</v>
      </c>
      <c r="E198" s="51" t="str">
        <f>IF(C198="","",IF(C198="Yes","Describe the currently implemented IDS.","Describe your plan to implement a Intrusion Detection System in your environment."))</f>
        <v>Describe the currently implemented IDS.</v>
      </c>
      <c r="Z198" s="9"/>
    </row>
    <row r="199" ht="48.0" customHeight="1">
      <c r="A199" s="27" t="s">
        <v>707</v>
      </c>
      <c r="B199" s="27" t="s">
        <v>708</v>
      </c>
      <c r="C199" s="46" t="s">
        <v>92</v>
      </c>
      <c r="D199" s="89" t="s">
        <v>1103</v>
      </c>
      <c r="E199" s="51" t="str">
        <f>IF(C199="","",IF(C199="Yes","Describe the currently implemented IPS.","Describe your plan to implement a Intrusion Prevention System in your environment."))</f>
        <v>Describe the currently implemented IPS.</v>
      </c>
      <c r="Z199" s="9"/>
    </row>
    <row r="200" ht="48.0" customHeight="1">
      <c r="A200" s="27" t="s">
        <v>709</v>
      </c>
      <c r="B200" s="27" t="s">
        <v>711</v>
      </c>
      <c r="C200" s="46" t="s">
        <v>85</v>
      </c>
      <c r="D200" s="76"/>
      <c r="E200" s="51" t="str">
        <f>IF(C200="","",IF(C200="Yes","Describe the currently implemented host-based IDS solution(s).","Describe your plan to implement host-based Intrusion Detection System capabilities in your environment."))</f>
        <v>Describe your plan to implement host-based Intrusion Detection System capabilities in your environment.</v>
      </c>
      <c r="Z200" s="9"/>
    </row>
    <row r="201" ht="48.0" customHeight="1">
      <c r="A201" s="27" t="s">
        <v>712</v>
      </c>
      <c r="B201" s="27" t="s">
        <v>713</v>
      </c>
      <c r="C201" s="46" t="s">
        <v>85</v>
      </c>
      <c r="D201" s="76"/>
      <c r="E201" s="51" t="str">
        <f>IF(C201="","",IF(C201="Yes","Describe the currently implemented host-based IPS solution(s).","Describe your plan to implement host-based Intrusion Prevention System capabilities in your environment."))</f>
        <v>Describe your plan to implement host-based Intrusion Prevention System capabilities in your environment.</v>
      </c>
      <c r="Z201" s="9"/>
    </row>
    <row r="202" ht="48.0" customHeight="1">
      <c r="A202" s="27" t="s">
        <v>714</v>
      </c>
      <c r="B202" s="27" t="s">
        <v>1104</v>
      </c>
      <c r="C202" s="57" t="s">
        <v>85</v>
      </c>
      <c r="D202" s="49"/>
      <c r="E202" s="51" t="str">
        <f>IF(C202="","",IF(C202="Yes","Describe your NGPT monitoring strategy.","Describe your intent to implement NGPT monitoring."))</f>
        <v>Describe your intent to implement NGPT monitoring.</v>
      </c>
      <c r="Z202" s="9"/>
    </row>
    <row r="203" ht="48.0" customHeight="1">
      <c r="A203" s="27" t="s">
        <v>717</v>
      </c>
      <c r="B203" s="27" t="s">
        <v>718</v>
      </c>
      <c r="C203" s="46" t="s">
        <v>92</v>
      </c>
      <c r="D203" s="76"/>
      <c r="E203" s="51" t="str">
        <f>IF(C203="","",IF(C203="Yes","Provide a brief summary of this activity.","State plans to implement 24x7x365 intrusion monitoring in your environment(s)."))</f>
        <v>Provide a brief summary of this activity.</v>
      </c>
      <c r="Z203" s="9"/>
    </row>
    <row r="204" ht="48.0" customHeight="1">
      <c r="A204" s="27" t="s">
        <v>720</v>
      </c>
      <c r="B204" s="27" t="s">
        <v>721</v>
      </c>
      <c r="C204" s="88" t="s">
        <v>1105</v>
      </c>
      <c r="D204" s="3"/>
      <c r="E204" s="51" t="s">
        <v>1106</v>
      </c>
      <c r="Z204" s="9"/>
    </row>
    <row r="205" ht="48.0" customHeight="1">
      <c r="A205" s="27" t="s">
        <v>724</v>
      </c>
      <c r="B205" s="27" t="s">
        <v>725</v>
      </c>
      <c r="C205" s="46" t="s">
        <v>92</v>
      </c>
      <c r="D205" s="76" t="s">
        <v>1107</v>
      </c>
      <c r="E205" s="51" t="str">
        <f>IF(C205="","",IF(C205="Yes","Describe your current network systems logging strategy.","State plans to implement auditing capabilities for your network, firewall, IDS and/or IPS"))</f>
        <v>Describe your current network systems logging strategy.</v>
      </c>
      <c r="Z205" s="9"/>
    </row>
    <row r="206" ht="36.0" customHeight="1">
      <c r="A206" s="18" t="str">
        <f>IF(OR($C$25="No",$C$30="Yes"),"Mobile Applications - Optional based on QUALIFIER response.","Mobile Applications")</f>
        <v>Mobile Applications - Optional based on QUALIFIER response.</v>
      </c>
      <c r="B206" s="3"/>
      <c r="C206" s="20" t="s">
        <v>79</v>
      </c>
      <c r="D206" s="20" t="s">
        <v>80</v>
      </c>
      <c r="E206" s="45" t="s">
        <v>81</v>
      </c>
      <c r="Z206" s="9"/>
    </row>
    <row r="207" ht="48.0" customHeight="1">
      <c r="A207" s="27" t="s">
        <v>736</v>
      </c>
      <c r="B207" s="27" t="s">
        <v>738</v>
      </c>
      <c r="C207" s="64"/>
      <c r="D207" s="3"/>
      <c r="E207" s="51" t="s">
        <v>1108</v>
      </c>
      <c r="Z207" s="9"/>
    </row>
    <row r="208" ht="46.5" customHeight="1">
      <c r="A208" s="27" t="s">
        <v>739</v>
      </c>
      <c r="B208" s="27" t="s">
        <v>740</v>
      </c>
      <c r="C208" s="64"/>
      <c r="D208" s="3"/>
      <c r="E208" s="51" t="s">
        <v>1109</v>
      </c>
      <c r="Z208" s="9"/>
    </row>
    <row r="209" ht="48.0" customHeight="1">
      <c r="A209" s="27" t="s">
        <v>742</v>
      </c>
      <c r="B209" s="27" t="s">
        <v>743</v>
      </c>
      <c r="C209" s="66"/>
      <c r="D209" s="76"/>
      <c r="E209" s="51" t="str">
        <f>IF(C209="","",IF(C209="Yes","State the application title as listed within the trusted source.","Decribe how the application is distributed. Also, state any plans to publish the app to a trusted source."))</f>
        <v/>
      </c>
      <c r="Z209" s="9"/>
    </row>
    <row r="210" ht="48.0" customHeight="1">
      <c r="A210" s="27" t="s">
        <v>744</v>
      </c>
      <c r="B210" s="27" t="s">
        <v>745</v>
      </c>
      <c r="C210" s="66"/>
      <c r="D210" s="76"/>
      <c r="E210" s="51" t="str">
        <f>IF(C210="","",IF(C210="Yes","Provide a detailed summary for your response.",""))</f>
        <v/>
      </c>
      <c r="Z210" s="9"/>
    </row>
    <row r="211" ht="48.0" customHeight="1">
      <c r="A211" s="27" t="s">
        <v>749</v>
      </c>
      <c r="B211" s="27" t="s">
        <v>750</v>
      </c>
      <c r="C211" s="66"/>
      <c r="D211" s="76"/>
      <c r="E211" s="51" t="str">
        <f>IF(C211="","",IF(C211="Yes","Describe how data is encrypted in transport. (i.e. from system to app)","Summarize why data is not encrypted in transport. (i.e. from system to app)"))</f>
        <v/>
      </c>
      <c r="Z211" s="9"/>
    </row>
    <row r="212" ht="48.0" customHeight="1">
      <c r="A212" s="27" t="s">
        <v>754</v>
      </c>
      <c r="B212" s="27" t="s">
        <v>755</v>
      </c>
      <c r="C212" s="66"/>
      <c r="D212" s="76"/>
      <c r="E212" s="51" t="str">
        <f>IF(C212="","",IF(C212="Yes","Describe how data is encrypted in storage. (i.e. at-rest within the app)","Summarize why data is not encrypted in storage. (i.e. at-rest within the app)"))</f>
        <v/>
      </c>
      <c r="Z212" s="9"/>
    </row>
    <row r="213" ht="48.0" customHeight="1">
      <c r="A213" s="27" t="s">
        <v>757</v>
      </c>
      <c r="B213" s="27" t="s">
        <v>758</v>
      </c>
      <c r="C213" s="66"/>
      <c r="D213" s="76"/>
      <c r="E213" s="51" t="str">
        <f>IF(C213="","",IF(C213="Yes","Summarize your system authentication capabilities.","State any plans to support these authentication systems."))</f>
        <v/>
      </c>
      <c r="Z213" s="9"/>
    </row>
    <row r="214" ht="48.0" customHeight="1">
      <c r="A214" s="27" t="s">
        <v>760</v>
      </c>
      <c r="B214" s="27" t="s">
        <v>761</v>
      </c>
      <c r="C214" s="66"/>
      <c r="D214" s="76"/>
      <c r="E214" s="51" t="str">
        <f>IF(C214="","",IF(C214="Yes","Summarize any requirements for the Institution to take advantage of these capabilities.",""))</f>
        <v/>
      </c>
      <c r="Z214" s="9"/>
    </row>
    <row r="215" ht="48.0" customHeight="1">
      <c r="A215" s="27" t="s">
        <v>762</v>
      </c>
      <c r="B215" s="27" t="s">
        <v>763</v>
      </c>
      <c r="C215" s="66"/>
      <c r="D215" s="76"/>
      <c r="E215" s="51" t="str">
        <f>IF(C215="","",IF(C215="Yes","Summarize your secure coding practices.","State plans to update your application to adhere to industry secure coding practices."))</f>
        <v/>
      </c>
      <c r="Z215" s="9"/>
    </row>
    <row r="216" ht="48.0" customHeight="1">
      <c r="A216" s="27" t="s">
        <v>764</v>
      </c>
      <c r="B216" s="27" t="s">
        <v>765</v>
      </c>
      <c r="C216" s="66"/>
      <c r="D216" s="76"/>
      <c r="E216" s="51" t="str">
        <f>IF(C216="","",IF(C216="Yes","State the party that performed the test and the date it was conducted. Provide test results and mitigation plans, if any.","Describe any plans to implement mobile application vulnerability testing."))</f>
        <v/>
      </c>
      <c r="Z216" s="9"/>
    </row>
    <row r="217" ht="48.0" customHeight="1">
      <c r="A217" s="27" t="s">
        <v>768</v>
      </c>
      <c r="B217" s="27" t="s">
        <v>769</v>
      </c>
      <c r="C217" s="64"/>
      <c r="D217" s="3"/>
      <c r="E217" s="51" t="s">
        <v>1110</v>
      </c>
      <c r="Z217" s="9"/>
    </row>
    <row r="218" ht="36.0" customHeight="1">
      <c r="A218" s="18" t="str">
        <f>IF($C$30="","Physical Security",IF($C$30="Yes","Physical Security - Optional based on QUALIFIER response.","Physical Security"))</f>
        <v>Physical Security</v>
      </c>
      <c r="B218" s="3"/>
      <c r="C218" s="20" t="s">
        <v>79</v>
      </c>
      <c r="D218" s="20" t="s">
        <v>80</v>
      </c>
      <c r="E218" s="45" t="s">
        <v>81</v>
      </c>
      <c r="Z218" s="9"/>
    </row>
    <row r="219" ht="46.5" customHeight="1">
      <c r="A219" s="27" t="s">
        <v>772</v>
      </c>
      <c r="B219" s="27" t="s">
        <v>1111</v>
      </c>
      <c r="C219" s="57" t="s">
        <v>92</v>
      </c>
      <c r="D219" s="52" t="s">
        <v>1112</v>
      </c>
      <c r="E219" s="51" t="str">
        <f>IF(C219="","",IF(C219="Yes","Provide a copy of your physical security controls and policies along with this document (link or attached).","Describe your intent to implement physical security controls and policies."))</f>
        <v>Provide a copy of your physical security controls and policies along with this document (link or attached).</v>
      </c>
      <c r="Z219" s="9"/>
    </row>
    <row r="220" ht="48.0" customHeight="1">
      <c r="A220" s="27" t="s">
        <v>777</v>
      </c>
      <c r="B220" s="27" t="s">
        <v>778</v>
      </c>
      <c r="C220" s="46" t="s">
        <v>85</v>
      </c>
      <c r="D220" s="76"/>
      <c r="E220" s="51" t="str">
        <f>IF(C220="","",IF(C220="Yes","Provide a detailed summary outlining the security controls implemented to protect the Institution's data.",""))</f>
        <v/>
      </c>
      <c r="Z220" s="9"/>
    </row>
    <row r="221" ht="48.0" customHeight="1">
      <c r="A221" s="27" t="s">
        <v>783</v>
      </c>
      <c r="B221" s="27" t="s">
        <v>784</v>
      </c>
      <c r="C221" s="46" t="s">
        <v>92</v>
      </c>
      <c r="D221" s="76" t="s">
        <v>1113</v>
      </c>
      <c r="E221" s="51" t="str">
        <f>IF(C221="","",IF(C221="Yes","State the retention period for security video.","State your plans to retain video monitoring feeds."))</f>
        <v>State the retention period for security video.</v>
      </c>
      <c r="Z221" s="9"/>
    </row>
    <row r="222" ht="48.0" customHeight="1">
      <c r="A222" s="27" t="s">
        <v>789</v>
      </c>
      <c r="B222" s="27" t="s">
        <v>790</v>
      </c>
      <c r="C222" s="46" t="s">
        <v>92</v>
      </c>
      <c r="D222" s="76" t="s">
        <v>1113</v>
      </c>
      <c r="E222" s="51" t="str">
        <f>IF(C222="","",IF(C222="Yes","Summarize your video monitoring strategy for datacenter staff.","Describe plans to have video feed(s) monitored."))</f>
        <v>Summarize your video monitoring strategy for datacenter staff.</v>
      </c>
      <c r="Z222" s="9"/>
    </row>
    <row r="223" ht="48.0" customHeight="1">
      <c r="A223" s="27" t="s">
        <v>792</v>
      </c>
      <c r="B223" s="27" t="s">
        <v>793</v>
      </c>
      <c r="C223" s="46" t="s">
        <v>92</v>
      </c>
      <c r="D223" s="76"/>
      <c r="E223" s="51" t="str">
        <f>IF(C223="","",IF(C223="Yes","Summarize your process and procedure for the installation and removal of equipment to/from your environment.","Provide a brief summary for your response."))</f>
        <v>Summarize your process and procedure for the installation and removal of equipment to/from your environment.</v>
      </c>
      <c r="Z223" s="9"/>
    </row>
    <row r="224" ht="36.0" customHeight="1">
      <c r="A224" s="18" t="str">
        <f>IF($C$30="","Policies, Procedures, and Processes",IF($C$30="Yes","Pol/Pro/Proc - Optional based on QUALIFIER response.","Policies, Procedures, and Processes"))</f>
        <v>Policies, Procedures, and Processes</v>
      </c>
      <c r="B224" s="3"/>
      <c r="C224" s="20" t="s">
        <v>79</v>
      </c>
      <c r="D224" s="20" t="s">
        <v>80</v>
      </c>
      <c r="E224" s="45" t="s">
        <v>81</v>
      </c>
      <c r="Z224" s="9"/>
    </row>
    <row r="225" ht="82.5" customHeight="1">
      <c r="A225" s="27" t="s">
        <v>797</v>
      </c>
      <c r="B225" s="27" t="s">
        <v>1114</v>
      </c>
      <c r="C225" s="57" t="s">
        <v>92</v>
      </c>
      <c r="D225" s="100" t="s">
        <v>1115</v>
      </c>
      <c r="E225" s="51" t="str">
        <f>IF(C225="","",IF(C225="Yes","Provide a links to these documents in Additional Information or attach them with your submission. Include the responsible party for your information security program and the size of your security staff.","Provide a brief summary for this response."))</f>
        <v>Provide a links to these documents in Additional Information or attach them with your submission. Include the responsible party for your information security program and the size of your security staff.</v>
      </c>
      <c r="Z225" s="9"/>
    </row>
    <row r="226" ht="48.0" customHeight="1">
      <c r="A226" s="27" t="s">
        <v>804</v>
      </c>
      <c r="B226" s="27" t="s">
        <v>805</v>
      </c>
      <c r="C226" s="46" t="s">
        <v>92</v>
      </c>
      <c r="D226" s="94" t="s">
        <v>1116</v>
      </c>
      <c r="E226" s="51" t="str">
        <f>IF(C226="","",IF(C226="Yes","Summarize your documented patch management process.","State plans to document your patch management process."))</f>
        <v>Summarize your documented patch management process.</v>
      </c>
      <c r="Z226" s="9"/>
    </row>
    <row r="227" ht="48.0" customHeight="1">
      <c r="A227" s="27" t="s">
        <v>810</v>
      </c>
      <c r="B227" s="27" t="s">
        <v>811</v>
      </c>
      <c r="C227" s="57" t="s">
        <v>92</v>
      </c>
      <c r="D227" s="76"/>
      <c r="E227" s="51" t="str">
        <f>IF(C227="","",IF(C227="Yes","Summarize any limitations to your accomodation capabilities.","State why you are unable to accommodate encryption requirements using open standards."))</f>
        <v>Summarize any limitations to your accomodation capabilities.</v>
      </c>
      <c r="Z227" s="9"/>
    </row>
    <row r="228" ht="48.0" customHeight="1">
      <c r="A228" s="27" t="s">
        <v>813</v>
      </c>
      <c r="B228" s="27" t="s">
        <v>814</v>
      </c>
      <c r="C228" s="46" t="s">
        <v>92</v>
      </c>
      <c r="D228" s="94" t="s">
        <v>1117</v>
      </c>
      <c r="E228" s="51" t="str">
        <f>IF(C228="","",IF(C228="Yes","Provide a brief description of the training provided.","State any scheduled training sessions focused on secure coding techniques."))</f>
        <v>Provide a brief description of the training provided.</v>
      </c>
      <c r="Z228" s="9"/>
    </row>
    <row r="229" ht="48.0" customHeight="1">
      <c r="A229" s="27" t="s">
        <v>817</v>
      </c>
      <c r="B229" s="27" t="s">
        <v>818</v>
      </c>
      <c r="C229" s="46" t="s">
        <v>92</v>
      </c>
      <c r="D229" s="94" t="s">
        <v>1118</v>
      </c>
      <c r="E229" s="51" t="str">
        <f>IF(C229="","",IF(C229="Yes","Describe the secure coding techniques used to develop your application.","State plans to update your application code using secure coding techniques."))</f>
        <v>Describe the secure coding techniques used to develop your application.</v>
      </c>
      <c r="Z229" s="9"/>
    </row>
    <row r="230" ht="48.0" customHeight="1">
      <c r="A230" s="27" t="s">
        <v>819</v>
      </c>
      <c r="B230" s="27" t="s">
        <v>820</v>
      </c>
      <c r="C230" s="46" t="s">
        <v>85</v>
      </c>
      <c r="D230" s="76"/>
      <c r="E230" s="51" t="str">
        <f>IF(C230="","",IF(C230="Yes","Provide a list of all tools utilized during static code analysis or static application security testing.","State your plans to implement static code testing practices into your environment."))</f>
        <v>State your plans to implement static code testing practices into your environment.</v>
      </c>
      <c r="Z230" s="9"/>
    </row>
    <row r="231" ht="98.25" customHeight="1">
      <c r="A231" s="27" t="s">
        <v>824</v>
      </c>
      <c r="B231" s="27" t="s">
        <v>825</v>
      </c>
      <c r="C231" s="46" t="s">
        <v>92</v>
      </c>
      <c r="D231" s="100" t="s">
        <v>1119</v>
      </c>
      <c r="E231" s="51" t="str">
        <f>IF(C231="","",IF(C231="Yes","Describe testing processes, including but not limited to, development of test plans, personnel involved in the testing process, and authorized individual accountable for approval and certification of test results.","State your plans to implement software testing processes into your environment."))</f>
        <v>Describe testing processes, including but not limited to, development of test plans, personnel involved in the testing process, and authorized individual accountable for approval and certification of test results.</v>
      </c>
      <c r="Z231" s="9"/>
    </row>
    <row r="232" ht="70.5" customHeight="1">
      <c r="A232" s="27" t="s">
        <v>829</v>
      </c>
      <c r="B232" s="27" t="s">
        <v>830</v>
      </c>
      <c r="C232" s="46" t="s">
        <v>92</v>
      </c>
      <c r="D232" s="95" t="s">
        <v>1120</v>
      </c>
      <c r="E232" s="51" t="str">
        <f>IF(C232="","",IF(C232="Yes","Summarize the information security principles designed into the product lifecycle.","Describe why security principles are not designed into the product lifecycle."))</f>
        <v>Summarize the information security principles designed into the product lifecycle.</v>
      </c>
      <c r="Z232" s="9"/>
    </row>
    <row r="233" ht="96.0" customHeight="1">
      <c r="A233" s="27" t="s">
        <v>833</v>
      </c>
      <c r="B233" s="27" t="s">
        <v>834</v>
      </c>
      <c r="C233" s="46" t="s">
        <v>85</v>
      </c>
      <c r="D233" s="112" t="s">
        <v>1121</v>
      </c>
      <c r="E233" s="51" t="str">
        <f>IF(C233="","",IF(C233="Yes","Describe or provide a reference to your system development life cycle methodology including your environments, version control, and change management (if not already covered in the Change Management section).","Describe any plans to implement a documented SDLC."))</f>
        <v>Describe any plans to implement a documented SDLC.</v>
      </c>
      <c r="Z233" s="9"/>
    </row>
    <row r="234" ht="48.0" customHeight="1">
      <c r="A234" s="27" t="s">
        <v>838</v>
      </c>
      <c r="B234" s="27" t="s">
        <v>839</v>
      </c>
      <c r="C234" s="46" t="s">
        <v>92</v>
      </c>
      <c r="D234" s="76" t="s">
        <v>1122</v>
      </c>
      <c r="E234" s="51" t="str">
        <f>IF(C234="","",IF(C234="Yes","Summarize your formal incident response plan.","State plans to formalize an incident response plan."))</f>
        <v>Summarize your formal incident response plan.</v>
      </c>
      <c r="Z234" s="9"/>
    </row>
    <row r="235" ht="48.0" customHeight="1">
      <c r="A235" s="27" t="s">
        <v>844</v>
      </c>
      <c r="B235" s="27" t="s">
        <v>845</v>
      </c>
      <c r="C235" s="46" t="s">
        <v>92</v>
      </c>
      <c r="D235" s="76" t="s">
        <v>1123</v>
      </c>
      <c r="E235" s="51" t="str">
        <f>IF(C235="","",IF(C235="Yes","State how quickly the Institution will be notified of a data breach or security incident.","Summarize why you will not comple with applicable breach notification laws."))</f>
        <v>State how quickly the Institution will be notified of a data breach or security incident.</v>
      </c>
      <c r="Z235" s="9"/>
    </row>
    <row r="236" ht="48.0" customHeight="1">
      <c r="A236" s="27" t="s">
        <v>848</v>
      </c>
      <c r="B236" s="27" t="s">
        <v>849</v>
      </c>
      <c r="C236" s="46" t="s">
        <v>92</v>
      </c>
      <c r="D236" s="76"/>
      <c r="E236" s="51" t="str">
        <f>IF(C236="","",IF(C236="Yes","State that you have reviewed the Institution's IT policies with regards to user privacy and data protection.","Summarize why you will not comply with the Institution's IT policy with regards to user privacy and data protection."))</f>
        <v>State that you have reviewed the Institution's IT policies with regards to user privacy and data protection.</v>
      </c>
      <c r="Z236" s="9"/>
    </row>
    <row r="237" ht="48.0" customHeight="1">
      <c r="A237" s="27" t="s">
        <v>851</v>
      </c>
      <c r="B237" s="27" t="s">
        <v>852</v>
      </c>
      <c r="C237" s="46" t="s">
        <v>92</v>
      </c>
      <c r="D237" s="76"/>
      <c r="E237" s="51" t="str">
        <f>IF(C237="","",IF(C237="Yes","","State the country that governs and regulates your company."))</f>
        <v/>
      </c>
      <c r="Z237" s="9"/>
    </row>
    <row r="238" ht="48.0" customHeight="1">
      <c r="A238" s="27" t="s">
        <v>853</v>
      </c>
      <c r="B238" s="27" t="s">
        <v>854</v>
      </c>
      <c r="C238" s="46" t="s">
        <v>92</v>
      </c>
      <c r="D238" s="76" t="s">
        <v>1124</v>
      </c>
      <c r="E238" s="51" t="str">
        <f>IF(C238="","",IF(C238="Yes","Summarize your background check practices.","State plans to implement background check elements into your hiring process."))</f>
        <v>Summarize your background check practices.</v>
      </c>
      <c r="Z238" s="9"/>
    </row>
    <row r="239" ht="64.5" customHeight="1">
      <c r="A239" s="27" t="s">
        <v>859</v>
      </c>
      <c r="B239" s="27" t="s">
        <v>860</v>
      </c>
      <c r="C239" s="46" t="s">
        <v>92</v>
      </c>
      <c r="D239" s="76"/>
      <c r="E239" s="51" t="str">
        <f>IF(C239="","",IF(C239="Yes","Summarize the required agreements and reviewed policies.","Summarize why new employees are not required to accept agreements or review policy."))</f>
        <v>Summarize the required agreements and reviewed policies.</v>
      </c>
      <c r="Z239" s="9"/>
    </row>
    <row r="240" ht="48.0" customHeight="1">
      <c r="A240" s="27" t="s">
        <v>864</v>
      </c>
      <c r="B240" s="27" t="s">
        <v>865</v>
      </c>
      <c r="C240" s="46" t="s">
        <v>92</v>
      </c>
      <c r="D240" s="76" t="s">
        <v>1125</v>
      </c>
      <c r="E240" s="51" t="str">
        <f>IF(C240="","",IF(C240="Yes","Provide a reference to your information security policy or submit documentation with this fully-populated HECVAT.","State plans to implement information security policy at your company."))</f>
        <v>Provide a reference to your information security policy or submit documentation with this fully-populated HECVAT.</v>
      </c>
      <c r="Z240" s="9"/>
    </row>
    <row r="241" ht="48.0" customHeight="1">
      <c r="A241" s="27" t="s">
        <v>867</v>
      </c>
      <c r="B241" s="27" t="s">
        <v>868</v>
      </c>
      <c r="C241" s="46" t="s">
        <v>92</v>
      </c>
      <c r="D241" s="76" t="s">
        <v>1126</v>
      </c>
      <c r="E241" s="51" t="str">
        <f>IF(C241="","",IF(C241="Yes","Summarize your information security awareness program.","State plans to implement an information security awareness program."))</f>
        <v>Summarize your information security awareness program.</v>
      </c>
      <c r="Z241" s="9"/>
    </row>
    <row r="242" ht="63.75" customHeight="1">
      <c r="A242" s="27" t="s">
        <v>874</v>
      </c>
      <c r="B242" s="27" t="s">
        <v>875</v>
      </c>
      <c r="C242" s="46" t="s">
        <v>92</v>
      </c>
      <c r="D242" s="76"/>
      <c r="E242" s="51" t="str">
        <f>IF(C242="","",IF(C242="Yes","Summarize your security awareness training content and state how frequently employees are required to undergo security awareness training.","State plans to make security awareness training mandatory for all employees."))</f>
        <v>Summarize your security awareness training content and state how frequently employees are required to undergo security awareness training.</v>
      </c>
      <c r="Z242" s="9"/>
    </row>
    <row r="243" ht="48.0" customHeight="1">
      <c r="A243" s="27" t="s">
        <v>878</v>
      </c>
      <c r="B243" s="27" t="s">
        <v>879</v>
      </c>
      <c r="C243" s="46" t="s">
        <v>92</v>
      </c>
      <c r="D243" s="76"/>
      <c r="E243" s="51" t="str">
        <f>IF(C243="","",IF(C243="Yes","Provide a brief summary and the implement review interval.","Describe plans to implement privileged account access-list reviews to your environment."))</f>
        <v>Provide a brief summary and the implement review interval.</v>
      </c>
      <c r="Z243" s="9"/>
    </row>
    <row r="244" ht="63.75" customHeight="1">
      <c r="A244" s="27" t="s">
        <v>883</v>
      </c>
      <c r="B244" s="27" t="s">
        <v>884</v>
      </c>
      <c r="C244" s="46" t="s">
        <v>92</v>
      </c>
      <c r="D244" s="84" t="s">
        <v>1127</v>
      </c>
      <c r="E244" s="51" t="str">
        <f>IF(C244="","",IF(C244="Yes","Summarize your internal audit processes and procedures.","State plans to document and implement internal audit process and procedure in your environment."))</f>
        <v>Summarize your internal audit processes and procedures.</v>
      </c>
      <c r="Z244" s="9"/>
    </row>
    <row r="245" ht="36.0" customHeight="1">
      <c r="A245" s="18" t="str">
        <f>IF($C$30="","Product Evaluation",IF($C$30="Yes","Product Evaluation - Optional based on QUALIFIER response.","Product Evaluation"))</f>
        <v>Product Evaluation</v>
      </c>
      <c r="B245" s="3"/>
      <c r="C245" s="20" t="s">
        <v>79</v>
      </c>
      <c r="D245" s="20" t="s">
        <v>80</v>
      </c>
      <c r="E245" s="45" t="s">
        <v>81</v>
      </c>
      <c r="Z245" s="9"/>
    </row>
    <row r="246" ht="48.0" customHeight="1">
      <c r="A246" s="27" t="s">
        <v>888</v>
      </c>
      <c r="B246" s="27" t="s">
        <v>889</v>
      </c>
      <c r="C246" s="46" t="s">
        <v>92</v>
      </c>
      <c r="D246" s="76" t="s">
        <v>1128</v>
      </c>
      <c r="E246" s="51" t="str">
        <f>IF(C246="","",IF(C246="Yes","Provide a reference to your customer feedback procedures.","State any plans to incorporate customer feedback into security feature requests."))</f>
        <v>Provide a reference to your customer feedback procedures.</v>
      </c>
      <c r="Z246" s="9"/>
    </row>
    <row r="247" ht="48.0" customHeight="1">
      <c r="A247" s="27" t="s">
        <v>890</v>
      </c>
      <c r="B247" s="27" t="s">
        <v>891</v>
      </c>
      <c r="C247" s="46" t="s">
        <v>92</v>
      </c>
      <c r="D247" s="112" t="s">
        <v>1129</v>
      </c>
      <c r="E247" s="51" t="str">
        <f>IF(C247="","",IF(C247="Yes","Summarize the scope of your evaluation site(s) and request procedures. Provide references, as needed.","State why an evaluation site cannot be provided to the Institution."))</f>
        <v>Summarize the scope of your evaluation site(s) and request procedures. Provide references, as needed.</v>
      </c>
      <c r="Z247" s="9"/>
    </row>
    <row r="248" ht="36.0" customHeight="1">
      <c r="A248" s="18" t="str">
        <f>IF($C$30="","Quality Assurance",IF($C$30="Yes","Quality Assurance - Optional based on QUALIFIER response.","Quality Assurance"))</f>
        <v>Quality Assurance</v>
      </c>
      <c r="B248" s="3"/>
      <c r="C248" s="20" t="s">
        <v>79</v>
      </c>
      <c r="D248" s="20" t="s">
        <v>80</v>
      </c>
      <c r="E248" s="45" t="s">
        <v>81</v>
      </c>
      <c r="Z248" s="9"/>
    </row>
    <row r="249" ht="52.5" customHeight="1">
      <c r="A249" s="27" t="s">
        <v>894</v>
      </c>
      <c r="B249" s="27" t="s">
        <v>895</v>
      </c>
      <c r="C249" s="86" t="s">
        <v>1131</v>
      </c>
      <c r="D249" s="3"/>
      <c r="E249" s="51" t="s">
        <v>1132</v>
      </c>
      <c r="Z249" s="9"/>
    </row>
    <row r="250" ht="48.0" customHeight="1">
      <c r="A250" s="27" t="s">
        <v>896</v>
      </c>
      <c r="B250" s="27" t="s">
        <v>897</v>
      </c>
      <c r="C250" s="46" t="s">
        <v>92</v>
      </c>
      <c r="D250" s="76"/>
      <c r="E250" s="51" t="str">
        <f>IF(C250="","",IF(C250="Yes","If certified, provide supporting documentation.","Describe plans and/or efforts towards certification."))</f>
        <v>If certified, provide supporting documentation.</v>
      </c>
      <c r="Z250" s="9"/>
    </row>
    <row r="251" ht="52.5" customHeight="1">
      <c r="A251" s="27" t="s">
        <v>898</v>
      </c>
      <c r="B251" s="27" t="s">
        <v>899</v>
      </c>
      <c r="C251" s="46" t="s">
        <v>92</v>
      </c>
      <c r="D251" s="76" t="s">
        <v>1133</v>
      </c>
      <c r="E251" s="51" t="str">
        <f>IF(C251="","",IF(C251="Yes","Provide references to quality and performance metrics documentation.","State plans to provide quality and performance metrics for this service."))</f>
        <v>Provide references to quality and performance metrics documentation.</v>
      </c>
      <c r="Z251" s="9"/>
    </row>
    <row r="252" ht="52.5" customHeight="1">
      <c r="A252" s="27" t="s">
        <v>900</v>
      </c>
      <c r="B252" s="27" t="s">
        <v>901</v>
      </c>
      <c r="C252" s="46" t="s">
        <v>85</v>
      </c>
      <c r="D252" s="76"/>
      <c r="E252" s="51" t="str">
        <f>IF(C252="","",IF(C252="Yes","Provide the Institution's contact, describe the products and/or services offered, and the total value of the services provided.",""))</f>
        <v/>
      </c>
      <c r="Z252" s="9"/>
    </row>
    <row r="253" ht="48.0" customHeight="1">
      <c r="A253" s="27" t="s">
        <v>902</v>
      </c>
      <c r="B253" s="27" t="s">
        <v>903</v>
      </c>
      <c r="C253" s="46" t="s">
        <v>85</v>
      </c>
      <c r="D253" s="76" t="s">
        <v>1134</v>
      </c>
      <c r="E253" s="51" t="str">
        <f>IF(C253="","",IF(C253="Yes","Summarize your informational program.","Describe plans to implement this informational program."))</f>
        <v>Describe plans to implement this informational program.</v>
      </c>
      <c r="Z253" s="9"/>
    </row>
    <row r="254" ht="36.0" customHeight="1">
      <c r="A254" s="18" t="str">
        <f>IF($C$30="","Systems Management &amp; Configuration",IF($C$30="Yes","System Mgmt/Config - Optional based on QUALIFIER response.","Systems Management &amp; Configuration"))</f>
        <v>Systems Management &amp; Configuration</v>
      </c>
      <c r="B254" s="3"/>
      <c r="C254" s="20" t="s">
        <v>79</v>
      </c>
      <c r="D254" s="20" t="s">
        <v>80</v>
      </c>
      <c r="E254" s="45" t="s">
        <v>81</v>
      </c>
      <c r="Z254" s="9"/>
    </row>
    <row r="255" ht="48.75" customHeight="1">
      <c r="A255" s="27" t="s">
        <v>908</v>
      </c>
      <c r="B255" s="27" t="s">
        <v>909</v>
      </c>
      <c r="C255" s="46" t="s">
        <v>92</v>
      </c>
      <c r="D255" s="89" t="s">
        <v>1135</v>
      </c>
      <c r="E255" s="51" t="str">
        <f>IF(C255="","",IF(C255="Yes","Summarize how this is implemented in your environment.","Describe any implemented compensating controls."))</f>
        <v>Summarize how this is implemented in your environment.</v>
      </c>
      <c r="Z255" s="9"/>
    </row>
    <row r="256" ht="48.0" customHeight="1">
      <c r="A256" s="27" t="s">
        <v>911</v>
      </c>
      <c r="B256" s="27" t="s">
        <v>912</v>
      </c>
      <c r="C256" s="46" t="s">
        <v>85</v>
      </c>
      <c r="D256" s="76"/>
      <c r="E256" s="51" t="str">
        <f>IF(C256="","",IF(C256="Yes","Summarize your implemented system configuration management precess.","Describe how system configuration management is currently handled in your environment."))</f>
        <v>Describe how system configuration management is currently handled in your environment.</v>
      </c>
      <c r="Z256" s="9"/>
    </row>
    <row r="257" ht="48.0" customHeight="1">
      <c r="A257" s="27" t="s">
        <v>916</v>
      </c>
      <c r="B257" s="27" t="s">
        <v>917</v>
      </c>
      <c r="C257" s="46" t="s">
        <v>85</v>
      </c>
      <c r="D257" s="76"/>
      <c r="E257" s="51" t="str">
        <f>IF(C257="","",IF(C257="Yes","Summarize your on-site MDM capabilities.","State any plans to implement a MDM platform in your environment."))</f>
        <v>State any plans to implement a MDM platform in your environment.</v>
      </c>
      <c r="Z257" s="9"/>
    </row>
    <row r="258" ht="63.75" customHeight="1">
      <c r="A258" s="27" t="s">
        <v>920</v>
      </c>
      <c r="B258" s="27" t="s">
        <v>1136</v>
      </c>
      <c r="C258" s="57" t="s">
        <v>92</v>
      </c>
      <c r="D258" s="12"/>
      <c r="E258" s="51" t="str">
        <f>IF(C258="","",IF(C258="Yes","Summarize your systems management and configuration strategy.","Describe your intent to implement a systems management and configuration strategy."))</f>
        <v>Summarize your systems management and configuration strategy.</v>
      </c>
      <c r="Z258" s="9"/>
    </row>
    <row r="259" ht="36.0" customHeight="1">
      <c r="A259" s="18" t="str">
        <f>IF($C$30="","Vulnerability Scanning",IF($C$30="Yes","Vulnerability Scanning - Optional based on QUALIFIER response.","Vulnerability Scanning"))</f>
        <v>Vulnerability Scanning</v>
      </c>
      <c r="B259" s="3"/>
      <c r="C259" s="20" t="s">
        <v>79</v>
      </c>
      <c r="D259" s="20" t="s">
        <v>80</v>
      </c>
      <c r="E259" s="45" t="s">
        <v>81</v>
      </c>
      <c r="Z259" s="9"/>
    </row>
    <row r="260" ht="48.0" customHeight="1">
      <c r="A260" s="27" t="s">
        <v>927</v>
      </c>
      <c r="B260" s="27" t="s">
        <v>1137</v>
      </c>
      <c r="C260" s="46" t="s">
        <v>92</v>
      </c>
      <c r="D260" s="76"/>
      <c r="E260" s="51" t="str">
        <f>IF(C260="","",IF(C260="Yes","Decribe your external application vulnerability scanning strategy.","Describe any plans to implement external vulnerability scanning for your applications."))</f>
        <v>Decribe your external application vulnerability scanning strategy.</v>
      </c>
      <c r="Z260" s="9"/>
    </row>
    <row r="261" ht="48.0" customHeight="1">
      <c r="A261" s="27" t="s">
        <v>932</v>
      </c>
      <c r="B261" s="27" t="s">
        <v>933</v>
      </c>
      <c r="C261" s="46" t="s">
        <v>92</v>
      </c>
      <c r="D261" s="50" t="s">
        <v>1141</v>
      </c>
      <c r="E261" s="51" t="str">
        <f>IF(C261="","",IF(C261="Yes","State the date of your most recent application external assessment.","Describe any plans to have application external assessment(s) performed on your systems."))</f>
        <v>State the date of your most recent application external assessment.</v>
      </c>
      <c r="Z261" s="9"/>
    </row>
    <row r="262" ht="64.5" customHeight="1">
      <c r="A262" s="27" t="s">
        <v>934</v>
      </c>
      <c r="B262" s="27" t="s">
        <v>935</v>
      </c>
      <c r="C262" s="46" t="s">
        <v>92</v>
      </c>
      <c r="D262" s="76" t="s">
        <v>1143</v>
      </c>
      <c r="E262" s="51" t="str">
        <f>IF(C262="","",IF(C262="Yes","Summarize your vulnerability scanning strategy.","Describe plans to implement application vulnerability scanning prior to release."))</f>
        <v>Summarize your vulnerability scanning strategy.</v>
      </c>
      <c r="Z262" s="9"/>
    </row>
    <row r="263" ht="48.75" customHeight="1">
      <c r="A263" s="27" t="s">
        <v>936</v>
      </c>
      <c r="B263" s="27" t="s">
        <v>1145</v>
      </c>
      <c r="C263" s="57" t="s">
        <v>85</v>
      </c>
      <c r="D263" s="112" t="s">
        <v>1146</v>
      </c>
      <c r="E263" s="51" t="str">
        <f>IF(C263="","",IF(C263="Yes","Decribe your external system vulnerability scanning strategy.","Describe any plans to implement external vulnerability scanning for your systems."))</f>
        <v>Describe any plans to implement external vulnerability scanning for your systems.</v>
      </c>
      <c r="Z263" s="9"/>
    </row>
    <row r="264" ht="48.0" customHeight="1">
      <c r="A264" s="27" t="s">
        <v>938</v>
      </c>
      <c r="B264" s="27" t="s">
        <v>939</v>
      </c>
      <c r="C264" s="66"/>
      <c r="D264" s="76"/>
      <c r="E264" s="51" t="str">
        <f>IF(C264="","",IF(C264="Yes","State the date of your most recent system external assessment.","Describe any plans to have system external assessment(s) performed on your systems."))</f>
        <v/>
      </c>
      <c r="Z264" s="9"/>
    </row>
    <row r="265" ht="64.5" customHeight="1">
      <c r="A265" s="27" t="s">
        <v>940</v>
      </c>
      <c r="B265" s="27" t="s">
        <v>941</v>
      </c>
      <c r="C265" s="88" t="s">
        <v>1147</v>
      </c>
      <c r="D265" s="3"/>
      <c r="E265" s="51" t="s">
        <v>1148</v>
      </c>
      <c r="Z265" s="9"/>
    </row>
    <row r="266" ht="48.0" customHeight="1">
      <c r="A266" s="27" t="s">
        <v>942</v>
      </c>
      <c r="B266" s="27" t="s">
        <v>943</v>
      </c>
      <c r="C266" s="46" t="s">
        <v>92</v>
      </c>
      <c r="D266" s="89" t="s">
        <v>1149</v>
      </c>
      <c r="E266" s="51" t="str">
        <f>IF(C266="","",IF(C266="Yes","Provide a reference to security scan documentation.","Describe why security scan results will not be provided to the Institution."))</f>
        <v>Provide a reference to security scan documentation.</v>
      </c>
      <c r="Z266" s="9"/>
    </row>
    <row r="267" ht="64.5" customHeight="1">
      <c r="A267" s="27" t="s">
        <v>944</v>
      </c>
      <c r="B267" s="27" t="s">
        <v>945</v>
      </c>
      <c r="C267" s="88" t="s">
        <v>1151</v>
      </c>
      <c r="D267" s="3"/>
      <c r="E267" s="51" t="s">
        <v>1155</v>
      </c>
      <c r="Z267" s="9"/>
    </row>
    <row r="268" ht="54.0" customHeight="1">
      <c r="A268" s="27" t="s">
        <v>950</v>
      </c>
      <c r="B268" s="27" t="s">
        <v>951</v>
      </c>
      <c r="C268" s="46" t="s">
        <v>92</v>
      </c>
      <c r="D268" s="76" t="s">
        <v>1156</v>
      </c>
      <c r="E268" s="51" t="str">
        <f>IF(C268="","",IF(C268="Yes","Provide reference to the process or procedure to setup security testing times and scopes.","Provide a brief summary for your response."))</f>
        <v>Provide reference to the process or procedure to setup security testing times and scopes.</v>
      </c>
      <c r="Z268" s="9"/>
    </row>
    <row r="269" ht="36.0" customHeight="1">
      <c r="A269" s="18" t="str">
        <f>IF(OR($C$24="No",$C$30="Yes"),"HIPAA - Optional based on QUALIFIER response.","HIPAA")</f>
        <v>HIPAA - Optional based on QUALIFIER response.</v>
      </c>
      <c r="B269" s="3"/>
      <c r="C269" s="20" t="s">
        <v>79</v>
      </c>
      <c r="D269" s="20" t="s">
        <v>80</v>
      </c>
      <c r="E269" s="45" t="s">
        <v>81</v>
      </c>
      <c r="Z269" s="9"/>
    </row>
    <row r="270" ht="64.5" customHeight="1">
      <c r="A270" s="27" t="s">
        <v>955</v>
      </c>
      <c r="B270" s="27" t="s">
        <v>956</v>
      </c>
      <c r="C270" s="66"/>
      <c r="D270" s="76"/>
      <c r="E270" s="51" t="s">
        <v>1157</v>
      </c>
      <c r="Z270" s="9"/>
    </row>
    <row r="271" ht="48.0" customHeight="1">
      <c r="A271" s="27" t="s">
        <v>960</v>
      </c>
      <c r="B271" s="27" t="s">
        <v>961</v>
      </c>
      <c r="C271" s="66"/>
      <c r="D271" s="76"/>
      <c r="E271" s="51" t="s">
        <v>1157</v>
      </c>
      <c r="Z271" s="9"/>
    </row>
    <row r="272" ht="48.0" customHeight="1">
      <c r="A272" s="27" t="s">
        <v>963</v>
      </c>
      <c r="B272" s="27" t="s">
        <v>964</v>
      </c>
      <c r="C272" s="66"/>
      <c r="D272" s="76"/>
      <c r="E272" s="51" t="s">
        <v>1157</v>
      </c>
      <c r="Z272" s="9"/>
    </row>
    <row r="273" ht="48.0" customHeight="1">
      <c r="A273" s="27" t="s">
        <v>966</v>
      </c>
      <c r="B273" s="27" t="s">
        <v>967</v>
      </c>
      <c r="C273" s="66"/>
      <c r="D273" s="76"/>
      <c r="E273" s="51" t="s">
        <v>1157</v>
      </c>
      <c r="Z273" s="9"/>
    </row>
    <row r="274" ht="48.0" customHeight="1">
      <c r="A274" s="27" t="s">
        <v>968</v>
      </c>
      <c r="B274" s="27" t="s">
        <v>969</v>
      </c>
      <c r="C274" s="66"/>
      <c r="D274" s="76"/>
      <c r="E274" s="51" t="s">
        <v>1157</v>
      </c>
      <c r="Z274" s="9"/>
    </row>
    <row r="275" ht="48.0" customHeight="1">
      <c r="A275" s="27" t="s">
        <v>975</v>
      </c>
      <c r="B275" s="27" t="s">
        <v>976</v>
      </c>
      <c r="C275" s="66"/>
      <c r="D275" s="76"/>
      <c r="E275" s="51" t="s">
        <v>1157</v>
      </c>
      <c r="Z275" s="9"/>
    </row>
    <row r="276" ht="48.0" customHeight="1">
      <c r="A276" s="27" t="s">
        <v>981</v>
      </c>
      <c r="B276" s="27" t="s">
        <v>982</v>
      </c>
      <c r="C276" s="66"/>
      <c r="D276" s="76"/>
      <c r="E276" s="51" t="s">
        <v>1157</v>
      </c>
      <c r="Z276" s="9"/>
    </row>
    <row r="277" ht="48.0" customHeight="1">
      <c r="A277" s="27" t="s">
        <v>983</v>
      </c>
      <c r="B277" s="27" t="s">
        <v>984</v>
      </c>
      <c r="C277" s="66"/>
      <c r="D277" s="76"/>
      <c r="E277" s="51" t="s">
        <v>1157</v>
      </c>
      <c r="Z277" s="9"/>
    </row>
    <row r="278" ht="48.0" customHeight="1">
      <c r="A278" s="27" t="s">
        <v>986</v>
      </c>
      <c r="B278" s="27" t="s">
        <v>987</v>
      </c>
      <c r="C278" s="66"/>
      <c r="D278" s="76"/>
      <c r="E278" s="51" t="s">
        <v>1157</v>
      </c>
      <c r="Z278" s="9"/>
    </row>
    <row r="279" ht="48.0" customHeight="1">
      <c r="A279" s="27" t="s">
        <v>988</v>
      </c>
      <c r="B279" s="27" t="s">
        <v>989</v>
      </c>
      <c r="C279" s="66"/>
      <c r="D279" s="76"/>
      <c r="E279" s="51" t="s">
        <v>1157</v>
      </c>
      <c r="Z279" s="9"/>
    </row>
    <row r="280" ht="48.0" customHeight="1">
      <c r="A280" s="27" t="s">
        <v>991</v>
      </c>
      <c r="B280" s="27" t="s">
        <v>992</v>
      </c>
      <c r="C280" s="66"/>
      <c r="D280" s="76"/>
      <c r="E280" s="51" t="s">
        <v>1157</v>
      </c>
      <c r="Z280" s="9"/>
    </row>
    <row r="281" ht="48.0" customHeight="1">
      <c r="A281" s="27" t="s">
        <v>995</v>
      </c>
      <c r="B281" s="27" t="s">
        <v>996</v>
      </c>
      <c r="C281" s="66"/>
      <c r="D281" s="76"/>
      <c r="E281" s="51" t="s">
        <v>1157</v>
      </c>
      <c r="Z281" s="9"/>
    </row>
    <row r="282" ht="48.0" customHeight="1">
      <c r="A282" s="27" t="s">
        <v>1001</v>
      </c>
      <c r="B282" s="27" t="s">
        <v>1002</v>
      </c>
      <c r="C282" s="66"/>
      <c r="D282" s="76"/>
      <c r="E282" s="51" t="s">
        <v>1157</v>
      </c>
      <c r="Z282" s="9"/>
    </row>
    <row r="283" ht="48.0" customHeight="1">
      <c r="A283" s="27" t="s">
        <v>1007</v>
      </c>
      <c r="B283" s="27" t="s">
        <v>1008</v>
      </c>
      <c r="C283" s="66"/>
      <c r="D283" s="76"/>
      <c r="E283" s="51" t="s">
        <v>1157</v>
      </c>
      <c r="Z283" s="9"/>
    </row>
    <row r="284" ht="48.0" customHeight="1">
      <c r="A284" s="27" t="s">
        <v>1010</v>
      </c>
      <c r="B284" s="27" t="s">
        <v>1011</v>
      </c>
      <c r="C284" s="66"/>
      <c r="D284" s="76"/>
      <c r="E284" s="51" t="s">
        <v>1157</v>
      </c>
      <c r="Z284" s="9"/>
    </row>
    <row r="285" ht="48.0" customHeight="1">
      <c r="A285" s="27" t="s">
        <v>1012</v>
      </c>
      <c r="B285" s="27" t="s">
        <v>1013</v>
      </c>
      <c r="C285" s="66"/>
      <c r="D285" s="76"/>
      <c r="E285" s="51" t="s">
        <v>1157</v>
      </c>
      <c r="Z285" s="9"/>
    </row>
    <row r="286" ht="48.0" customHeight="1">
      <c r="A286" s="27" t="s">
        <v>1015</v>
      </c>
      <c r="B286" s="27" t="s">
        <v>1016</v>
      </c>
      <c r="C286" s="66"/>
      <c r="D286" s="76"/>
      <c r="E286" s="51" t="s">
        <v>1157</v>
      </c>
      <c r="Z286" s="9"/>
    </row>
    <row r="287" ht="48.0" customHeight="1">
      <c r="A287" s="27" t="s">
        <v>1020</v>
      </c>
      <c r="B287" s="27" t="s">
        <v>1021</v>
      </c>
      <c r="C287" s="66"/>
      <c r="D287" s="76"/>
      <c r="E287" s="51" t="s">
        <v>1157</v>
      </c>
      <c r="Z287" s="9"/>
    </row>
    <row r="288" ht="46.5" customHeight="1">
      <c r="A288" s="27" t="s">
        <v>1024</v>
      </c>
      <c r="B288" s="27" t="s">
        <v>1025</v>
      </c>
      <c r="C288" s="66"/>
      <c r="D288" s="76"/>
      <c r="E288" s="51" t="s">
        <v>1157</v>
      </c>
      <c r="Z288" s="9"/>
    </row>
    <row r="289" ht="46.5" customHeight="1">
      <c r="A289" s="27" t="s">
        <v>1027</v>
      </c>
      <c r="B289" s="27" t="s">
        <v>1028</v>
      </c>
      <c r="C289" s="66"/>
      <c r="D289" s="76"/>
      <c r="E289" s="51" t="s">
        <v>1157</v>
      </c>
      <c r="Z289" s="9"/>
    </row>
    <row r="290" ht="48.0" customHeight="1">
      <c r="A290" s="27" t="s">
        <v>1031</v>
      </c>
      <c r="B290" s="27" t="s">
        <v>1032</v>
      </c>
      <c r="C290" s="66"/>
      <c r="D290" s="76"/>
      <c r="E290" s="51" t="s">
        <v>1157</v>
      </c>
      <c r="Z290" s="9"/>
    </row>
    <row r="291" ht="64.5" customHeight="1">
      <c r="A291" s="27" t="s">
        <v>1036</v>
      </c>
      <c r="B291" s="27" t="s">
        <v>1037</v>
      </c>
      <c r="C291" s="66"/>
      <c r="D291" s="76"/>
      <c r="E291" s="51" t="s">
        <v>1157</v>
      </c>
      <c r="Z291" s="9"/>
    </row>
    <row r="292" ht="48.0" customHeight="1">
      <c r="A292" s="27" t="s">
        <v>1039</v>
      </c>
      <c r="B292" s="27" t="s">
        <v>1040</v>
      </c>
      <c r="C292" s="64"/>
      <c r="D292" s="3"/>
      <c r="E292" s="51" t="s">
        <v>1157</v>
      </c>
      <c r="Z292" s="9"/>
    </row>
    <row r="293" ht="48.0" customHeight="1">
      <c r="A293" s="27" t="s">
        <v>1041</v>
      </c>
      <c r="B293" s="27" t="s">
        <v>1042</v>
      </c>
      <c r="C293" s="66"/>
      <c r="D293" s="76"/>
      <c r="E293" s="51" t="s">
        <v>1157</v>
      </c>
      <c r="Z293" s="9"/>
    </row>
    <row r="294" ht="48.0" customHeight="1">
      <c r="A294" s="27" t="s">
        <v>1044</v>
      </c>
      <c r="B294" s="27" t="s">
        <v>1045</v>
      </c>
      <c r="C294" s="66"/>
      <c r="D294" s="76"/>
      <c r="E294" s="51" t="s">
        <v>1157</v>
      </c>
      <c r="Z294" s="9"/>
    </row>
    <row r="295" ht="48.0" customHeight="1">
      <c r="A295" s="27" t="s">
        <v>1047</v>
      </c>
      <c r="B295" s="27" t="s">
        <v>1048</v>
      </c>
      <c r="C295" s="66"/>
      <c r="D295" s="76"/>
      <c r="E295" s="51" t="s">
        <v>1157</v>
      </c>
      <c r="Z295" s="9"/>
    </row>
    <row r="296" ht="48.0" customHeight="1">
      <c r="A296" s="27" t="s">
        <v>1050</v>
      </c>
      <c r="B296" s="27" t="s">
        <v>1051</v>
      </c>
      <c r="C296" s="66"/>
      <c r="D296" s="76"/>
      <c r="E296" s="51" t="s">
        <v>1157</v>
      </c>
      <c r="Z296" s="9"/>
    </row>
    <row r="297" ht="48.0" customHeight="1">
      <c r="A297" s="27" t="s">
        <v>1053</v>
      </c>
      <c r="B297" s="27" t="s">
        <v>1054</v>
      </c>
      <c r="C297" s="66"/>
      <c r="D297" s="76"/>
      <c r="E297" s="51" t="s">
        <v>1157</v>
      </c>
      <c r="Z297" s="9"/>
    </row>
    <row r="298" ht="48.0" customHeight="1">
      <c r="A298" s="27" t="s">
        <v>1056</v>
      </c>
      <c r="B298" s="27" t="s">
        <v>1057</v>
      </c>
      <c r="C298" s="66"/>
      <c r="D298" s="76"/>
      <c r="E298" s="51" t="s">
        <v>1157</v>
      </c>
      <c r="Z298" s="9"/>
    </row>
    <row r="299" ht="48.0" customHeight="1">
      <c r="A299" s="27" t="s">
        <v>1059</v>
      </c>
      <c r="B299" s="27" t="s">
        <v>1060</v>
      </c>
      <c r="C299" s="66"/>
      <c r="D299" s="76"/>
      <c r="E299" s="51" t="s">
        <v>1157</v>
      </c>
      <c r="Z299" s="9"/>
    </row>
    <row r="300" ht="46.5" customHeight="1">
      <c r="A300" s="27" t="s">
        <v>1062</v>
      </c>
      <c r="B300" s="27" t="s">
        <v>1063</v>
      </c>
      <c r="C300" s="66"/>
      <c r="D300" s="76"/>
      <c r="E300" s="51" t="s">
        <v>1157</v>
      </c>
      <c r="Z300" s="9"/>
    </row>
    <row r="301" ht="36.0" customHeight="1">
      <c r="A301" s="18" t="str">
        <f>IF(OR($C$29="No",$C$30="Yes"),"PCI DSS - Optional based on QUALIFIER response.","PCI DSS")</f>
        <v>PCI DSS - Optional based on QUALIFIER response.</v>
      </c>
      <c r="B301" s="3"/>
      <c r="C301" s="20" t="s">
        <v>79</v>
      </c>
      <c r="D301" s="20" t="s">
        <v>80</v>
      </c>
      <c r="E301" s="45" t="s">
        <v>81</v>
      </c>
      <c r="Z301" s="9"/>
    </row>
    <row r="302" ht="48.0" customHeight="1">
      <c r="A302" s="27" t="s">
        <v>1067</v>
      </c>
      <c r="B302" s="27" t="s">
        <v>1068</v>
      </c>
      <c r="C302" s="66"/>
      <c r="D302" s="76"/>
      <c r="E302" s="51" t="s">
        <v>1158</v>
      </c>
      <c r="Z302" s="9"/>
    </row>
    <row r="303" ht="48.0" customHeight="1">
      <c r="A303" s="27" t="s">
        <v>1070</v>
      </c>
      <c r="B303" s="27" t="s">
        <v>1072</v>
      </c>
      <c r="C303" s="66"/>
      <c r="D303" s="76"/>
      <c r="E303" s="51" t="s">
        <v>1158</v>
      </c>
      <c r="Z303" s="9"/>
    </row>
    <row r="304" ht="48.0" customHeight="1">
      <c r="A304" s="27" t="s">
        <v>1074</v>
      </c>
      <c r="B304" s="27" t="s">
        <v>1075</v>
      </c>
      <c r="C304" s="66"/>
      <c r="D304" s="76"/>
      <c r="E304" s="51" t="s">
        <v>1158</v>
      </c>
      <c r="Z304" s="9"/>
    </row>
    <row r="305" ht="48.0" customHeight="1">
      <c r="A305" s="27" t="s">
        <v>1076</v>
      </c>
      <c r="B305" s="27" t="s">
        <v>1077</v>
      </c>
      <c r="C305" s="66"/>
      <c r="D305" s="76"/>
      <c r="E305" s="51" t="s">
        <v>1158</v>
      </c>
      <c r="Z305" s="9"/>
    </row>
    <row r="306" ht="48.0" customHeight="1">
      <c r="A306" s="27" t="s">
        <v>1078</v>
      </c>
      <c r="B306" s="27" t="s">
        <v>1079</v>
      </c>
      <c r="C306" s="66"/>
      <c r="D306" s="76"/>
      <c r="E306" s="51" t="s">
        <v>1158</v>
      </c>
      <c r="Z306" s="9"/>
    </row>
    <row r="307" ht="48.0" customHeight="1">
      <c r="A307" s="27" t="s">
        <v>1080</v>
      </c>
      <c r="B307" s="27" t="s">
        <v>1081</v>
      </c>
      <c r="C307" s="66"/>
      <c r="D307" s="76"/>
      <c r="E307" s="51" t="s">
        <v>1158</v>
      </c>
      <c r="Z307" s="9"/>
    </row>
    <row r="308" ht="63.75" customHeight="1">
      <c r="A308" s="27" t="s">
        <v>1082</v>
      </c>
      <c r="B308" s="27" t="s">
        <v>1083</v>
      </c>
      <c r="C308" s="64"/>
      <c r="D308" s="3"/>
      <c r="E308" s="51" t="s">
        <v>1158</v>
      </c>
      <c r="Z308" s="9"/>
    </row>
    <row r="309" ht="63.75" customHeight="1">
      <c r="A309" s="27" t="s">
        <v>1085</v>
      </c>
      <c r="B309" s="27" t="s">
        <v>1086</v>
      </c>
      <c r="C309" s="64"/>
      <c r="D309" s="3"/>
      <c r="E309" s="51" t="s">
        <v>1158</v>
      </c>
      <c r="Z309" s="9"/>
    </row>
    <row r="310" ht="48.0" customHeight="1">
      <c r="A310" s="27" t="s">
        <v>1087</v>
      </c>
      <c r="B310" s="27" t="s">
        <v>1088</v>
      </c>
      <c r="C310" s="66"/>
      <c r="D310" s="76"/>
      <c r="E310" s="51" t="s">
        <v>1158</v>
      </c>
      <c r="Z310" s="9"/>
    </row>
    <row r="311" ht="48.0" customHeight="1">
      <c r="A311" s="27" t="s">
        <v>1089</v>
      </c>
      <c r="B311" s="27" t="s">
        <v>1090</v>
      </c>
      <c r="C311" s="66"/>
      <c r="D311" s="76"/>
      <c r="E311" s="51" t="s">
        <v>1158</v>
      </c>
      <c r="Z311" s="9"/>
    </row>
    <row r="312" ht="54.0" customHeight="1">
      <c r="A312" s="27" t="s">
        <v>1092</v>
      </c>
      <c r="B312" s="27" t="s">
        <v>1093</v>
      </c>
      <c r="C312" s="66"/>
      <c r="D312" s="76"/>
      <c r="E312" s="51" t="str">
        <f>IF(C312="","",IF(C312="Yes","State the providors name and provide a current copy of their AoC or RoC.","Refer to PCI DSS Security Standards for supplemental guidance in this section"))</f>
        <v/>
      </c>
      <c r="Z312" s="9"/>
    </row>
    <row r="313" ht="63.75" customHeight="1">
      <c r="A313" s="27" t="s">
        <v>1095</v>
      </c>
      <c r="B313" s="27" t="s">
        <v>1096</v>
      </c>
      <c r="C313" s="64"/>
      <c r="D313" s="3"/>
      <c r="E313" s="51" t="s">
        <v>1158</v>
      </c>
      <c r="Z313" s="9"/>
    </row>
    <row r="314" ht="15.75" customHeight="1">
      <c r="A314" s="32"/>
      <c r="B314" s="9"/>
      <c r="C314" s="110"/>
      <c r="D314" s="134"/>
      <c r="E314" s="135"/>
      <c r="F314" s="9"/>
      <c r="G314" s="9"/>
      <c r="H314" s="9"/>
      <c r="I314" s="9"/>
      <c r="J314" s="9"/>
      <c r="K314" s="9"/>
      <c r="L314" s="9"/>
      <c r="M314" s="9"/>
      <c r="N314" s="9"/>
      <c r="O314" s="9"/>
      <c r="P314" s="9"/>
      <c r="Q314" s="9"/>
      <c r="R314" s="9"/>
      <c r="S314" s="9"/>
      <c r="T314" s="9"/>
      <c r="U314" s="9"/>
      <c r="V314" s="9"/>
      <c r="W314" s="9"/>
      <c r="X314" s="9"/>
      <c r="Y314" s="9"/>
      <c r="Z314" s="9"/>
    </row>
    <row r="315" ht="15.75" customHeight="1">
      <c r="A315" s="32"/>
      <c r="B315" s="9"/>
      <c r="C315" s="110"/>
      <c r="D315" s="134"/>
      <c r="E315" s="135"/>
      <c r="F315" s="9"/>
      <c r="G315" s="9"/>
      <c r="H315" s="9"/>
      <c r="I315" s="9"/>
      <c r="J315" s="9"/>
      <c r="K315" s="9"/>
      <c r="L315" s="9"/>
      <c r="M315" s="9"/>
      <c r="N315" s="9"/>
      <c r="O315" s="9"/>
      <c r="P315" s="9"/>
      <c r="Q315" s="9"/>
      <c r="R315" s="9"/>
      <c r="S315" s="9"/>
      <c r="T315" s="9"/>
      <c r="U315" s="9"/>
      <c r="V315" s="9"/>
      <c r="W315" s="9"/>
      <c r="X315" s="9"/>
      <c r="Y315" s="9"/>
      <c r="Z315" s="9"/>
    </row>
    <row r="316" ht="15.75" customHeight="1">
      <c r="A316" s="32"/>
      <c r="B316" s="9"/>
      <c r="C316" s="110"/>
      <c r="D316" s="134"/>
      <c r="E316" s="135"/>
      <c r="F316" s="9"/>
      <c r="G316" s="9"/>
      <c r="H316" s="9"/>
      <c r="I316" s="9"/>
      <c r="J316" s="9"/>
      <c r="K316" s="9"/>
      <c r="L316" s="9"/>
      <c r="M316" s="9"/>
      <c r="N316" s="9"/>
      <c r="O316" s="9"/>
      <c r="P316" s="9"/>
      <c r="Q316" s="9"/>
      <c r="R316" s="9"/>
      <c r="S316" s="9"/>
      <c r="T316" s="9"/>
      <c r="U316" s="9"/>
      <c r="V316" s="9"/>
      <c r="W316" s="9"/>
      <c r="X316" s="9"/>
      <c r="Y316" s="9"/>
      <c r="Z316" s="9"/>
    </row>
    <row r="317" ht="15.75" customHeight="1">
      <c r="A317" s="32"/>
      <c r="B317" s="9"/>
      <c r="C317" s="110"/>
      <c r="D317" s="134"/>
      <c r="E317" s="135"/>
      <c r="F317" s="9"/>
      <c r="G317" s="9"/>
      <c r="H317" s="9"/>
      <c r="I317" s="9"/>
      <c r="J317" s="9"/>
      <c r="K317" s="9"/>
      <c r="L317" s="9"/>
      <c r="M317" s="9"/>
      <c r="N317" s="9"/>
      <c r="O317" s="9"/>
      <c r="P317" s="9"/>
      <c r="Q317" s="9"/>
      <c r="R317" s="9"/>
      <c r="S317" s="9"/>
      <c r="T317" s="9"/>
      <c r="U317" s="9"/>
      <c r="V317" s="9"/>
      <c r="W317" s="9"/>
      <c r="X317" s="9"/>
      <c r="Y317" s="9"/>
      <c r="Z317" s="9"/>
    </row>
    <row r="318" ht="15.75" customHeight="1">
      <c r="A318" s="32"/>
      <c r="B318" s="9"/>
      <c r="C318" s="110"/>
      <c r="D318" s="134"/>
      <c r="E318" s="135"/>
      <c r="F318" s="9"/>
      <c r="G318" s="9"/>
      <c r="H318" s="9"/>
      <c r="I318" s="9"/>
      <c r="J318" s="9"/>
      <c r="K318" s="9"/>
      <c r="L318" s="9"/>
      <c r="M318" s="9"/>
      <c r="N318" s="9"/>
      <c r="O318" s="9"/>
      <c r="P318" s="9"/>
      <c r="Q318" s="9"/>
      <c r="R318" s="9"/>
      <c r="S318" s="9"/>
      <c r="T318" s="9"/>
      <c r="U318" s="9"/>
      <c r="V318" s="9"/>
      <c r="W318" s="9"/>
      <c r="X318" s="9"/>
      <c r="Y318" s="9"/>
      <c r="Z318" s="9"/>
    </row>
    <row r="319" ht="15.75" customHeight="1">
      <c r="A319" s="32"/>
      <c r="B319" s="9"/>
      <c r="C319" s="110"/>
      <c r="D319" s="134"/>
      <c r="E319" s="135"/>
      <c r="F319" s="9"/>
      <c r="G319" s="9"/>
      <c r="H319" s="9"/>
      <c r="I319" s="9"/>
      <c r="J319" s="9"/>
      <c r="K319" s="9"/>
      <c r="L319" s="9"/>
      <c r="M319" s="9"/>
      <c r="N319" s="9"/>
      <c r="O319" s="9"/>
      <c r="P319" s="9"/>
      <c r="Q319" s="9"/>
      <c r="R319" s="9"/>
      <c r="S319" s="9"/>
      <c r="T319" s="9"/>
      <c r="U319" s="9"/>
      <c r="V319" s="9"/>
      <c r="W319" s="9"/>
      <c r="X319" s="9"/>
      <c r="Y319" s="9"/>
      <c r="Z319" s="9"/>
    </row>
    <row r="320" ht="15.75" customHeight="1">
      <c r="A320" s="32"/>
      <c r="B320" s="9"/>
      <c r="C320" s="110"/>
      <c r="D320" s="134"/>
      <c r="E320" s="135"/>
      <c r="F320" s="9"/>
      <c r="G320" s="9"/>
      <c r="H320" s="9"/>
      <c r="I320" s="9"/>
      <c r="J320" s="9"/>
      <c r="K320" s="9"/>
      <c r="L320" s="9"/>
      <c r="M320" s="9"/>
      <c r="N320" s="9"/>
      <c r="O320" s="9"/>
      <c r="P320" s="9"/>
      <c r="Q320" s="9"/>
      <c r="R320" s="9"/>
      <c r="S320" s="9"/>
      <c r="T320" s="9"/>
      <c r="U320" s="9"/>
      <c r="V320" s="9"/>
      <c r="W320" s="9"/>
      <c r="X320" s="9"/>
      <c r="Y320" s="9"/>
      <c r="Z320" s="9"/>
    </row>
    <row r="321" ht="15.75" customHeight="1">
      <c r="A321" s="32"/>
      <c r="B321" s="9"/>
      <c r="C321" s="110"/>
      <c r="D321" s="134"/>
      <c r="E321" s="135"/>
      <c r="F321" s="9"/>
      <c r="G321" s="9"/>
      <c r="H321" s="9"/>
      <c r="I321" s="9"/>
      <c r="J321" s="9"/>
      <c r="K321" s="9"/>
      <c r="L321" s="9"/>
      <c r="M321" s="9"/>
      <c r="N321" s="9"/>
      <c r="O321" s="9"/>
      <c r="P321" s="9"/>
      <c r="Q321" s="9"/>
      <c r="R321" s="9"/>
      <c r="S321" s="9"/>
      <c r="T321" s="9"/>
      <c r="U321" s="9"/>
      <c r="V321" s="9"/>
      <c r="W321" s="9"/>
      <c r="X321" s="9"/>
      <c r="Y321" s="9"/>
      <c r="Z321" s="9"/>
    </row>
    <row r="322" ht="15.75" customHeight="1">
      <c r="A322" s="32"/>
      <c r="B322" s="9"/>
      <c r="C322" s="110"/>
      <c r="D322" s="134"/>
      <c r="E322" s="135"/>
      <c r="F322" s="9"/>
      <c r="G322" s="9"/>
      <c r="H322" s="9"/>
      <c r="I322" s="9"/>
      <c r="J322" s="9"/>
      <c r="K322" s="9"/>
      <c r="L322" s="9"/>
      <c r="M322" s="9"/>
      <c r="N322" s="9"/>
      <c r="O322" s="9"/>
      <c r="P322" s="9"/>
      <c r="Q322" s="9"/>
      <c r="R322" s="9"/>
      <c r="S322" s="9"/>
      <c r="T322" s="9"/>
      <c r="U322" s="9"/>
      <c r="V322" s="9"/>
      <c r="W322" s="9"/>
      <c r="X322" s="9"/>
      <c r="Y322" s="9"/>
      <c r="Z322" s="9"/>
    </row>
    <row r="323" ht="15.75" customHeight="1">
      <c r="A323" s="32"/>
      <c r="B323" s="9"/>
      <c r="C323" s="110"/>
      <c r="D323" s="134"/>
      <c r="E323" s="135"/>
      <c r="F323" s="9"/>
      <c r="G323" s="9"/>
      <c r="H323" s="9"/>
      <c r="I323" s="9"/>
      <c r="J323" s="9"/>
      <c r="K323" s="9"/>
      <c r="L323" s="9"/>
      <c r="M323" s="9"/>
      <c r="N323" s="9"/>
      <c r="O323" s="9"/>
      <c r="P323" s="9"/>
      <c r="Q323" s="9"/>
      <c r="R323" s="9"/>
      <c r="S323" s="9"/>
      <c r="T323" s="9"/>
      <c r="U323" s="9"/>
      <c r="V323" s="9"/>
      <c r="W323" s="9"/>
      <c r="X323" s="9"/>
      <c r="Y323" s="9"/>
      <c r="Z323" s="9"/>
    </row>
    <row r="324" ht="15.75" customHeight="1">
      <c r="A324" s="32"/>
      <c r="B324" s="9"/>
      <c r="C324" s="110"/>
      <c r="D324" s="134"/>
      <c r="E324" s="135"/>
      <c r="F324" s="9"/>
      <c r="G324" s="9"/>
      <c r="H324" s="9"/>
      <c r="I324" s="9"/>
      <c r="J324" s="9"/>
      <c r="K324" s="9"/>
      <c r="L324" s="9"/>
      <c r="M324" s="9"/>
      <c r="N324" s="9"/>
      <c r="O324" s="9"/>
      <c r="P324" s="9"/>
      <c r="Q324" s="9"/>
      <c r="R324" s="9"/>
      <c r="S324" s="9"/>
      <c r="T324" s="9"/>
      <c r="U324" s="9"/>
      <c r="V324" s="9"/>
      <c r="W324" s="9"/>
      <c r="X324" s="9"/>
      <c r="Y324" s="9"/>
      <c r="Z324" s="9"/>
    </row>
    <row r="325" ht="15.75" customHeight="1">
      <c r="A325" s="32"/>
      <c r="B325" s="9"/>
      <c r="C325" s="110"/>
      <c r="D325" s="134"/>
      <c r="E325" s="135"/>
      <c r="F325" s="9"/>
      <c r="G325" s="9"/>
      <c r="H325" s="9"/>
      <c r="I325" s="9"/>
      <c r="J325" s="9"/>
      <c r="K325" s="9"/>
      <c r="L325" s="9"/>
      <c r="M325" s="9"/>
      <c r="N325" s="9"/>
      <c r="O325" s="9"/>
      <c r="P325" s="9"/>
      <c r="Q325" s="9"/>
      <c r="R325" s="9"/>
      <c r="S325" s="9"/>
      <c r="T325" s="9"/>
      <c r="U325" s="9"/>
      <c r="V325" s="9"/>
      <c r="W325" s="9"/>
      <c r="X325" s="9"/>
      <c r="Y325" s="9"/>
      <c r="Z325" s="9"/>
    </row>
    <row r="326" ht="15.75" customHeight="1">
      <c r="A326" s="32"/>
      <c r="B326" s="9"/>
      <c r="C326" s="110"/>
      <c r="D326" s="134"/>
      <c r="E326" s="135"/>
      <c r="F326" s="9"/>
      <c r="G326" s="9"/>
      <c r="H326" s="9"/>
      <c r="I326" s="9"/>
      <c r="J326" s="9"/>
      <c r="K326" s="9"/>
      <c r="L326" s="9"/>
      <c r="M326" s="9"/>
      <c r="N326" s="9"/>
      <c r="O326" s="9"/>
      <c r="P326" s="9"/>
      <c r="Q326" s="9"/>
      <c r="R326" s="9"/>
      <c r="S326" s="9"/>
      <c r="T326" s="9"/>
      <c r="U326" s="9"/>
      <c r="V326" s="9"/>
      <c r="W326" s="9"/>
      <c r="X326" s="9"/>
      <c r="Y326" s="9"/>
      <c r="Z326" s="9"/>
    </row>
    <row r="327" ht="15.75" customHeight="1">
      <c r="A327" s="32"/>
      <c r="B327" s="9"/>
      <c r="C327" s="110"/>
      <c r="D327" s="134"/>
      <c r="E327" s="135"/>
      <c r="F327" s="9"/>
      <c r="G327" s="9"/>
      <c r="H327" s="9"/>
      <c r="I327" s="9"/>
      <c r="J327" s="9"/>
      <c r="K327" s="9"/>
      <c r="L327" s="9"/>
      <c r="M327" s="9"/>
      <c r="N327" s="9"/>
      <c r="O327" s="9"/>
      <c r="P327" s="9"/>
      <c r="Q327" s="9"/>
      <c r="R327" s="9"/>
      <c r="S327" s="9"/>
      <c r="T327" s="9"/>
      <c r="U327" s="9"/>
      <c r="V327" s="9"/>
      <c r="W327" s="9"/>
      <c r="X327" s="9"/>
      <c r="Y327" s="9"/>
      <c r="Z327" s="9"/>
    </row>
    <row r="328" ht="15.75" customHeight="1">
      <c r="A328" s="32"/>
      <c r="B328" s="9"/>
      <c r="C328" s="110"/>
      <c r="D328" s="134"/>
      <c r="E328" s="135"/>
      <c r="F328" s="9"/>
      <c r="G328" s="9"/>
      <c r="H328" s="9"/>
      <c r="I328" s="9"/>
      <c r="J328" s="9"/>
      <c r="K328" s="9"/>
      <c r="L328" s="9"/>
      <c r="M328" s="9"/>
      <c r="N328" s="9"/>
      <c r="O328" s="9"/>
      <c r="P328" s="9"/>
      <c r="Q328" s="9"/>
      <c r="R328" s="9"/>
      <c r="S328" s="9"/>
      <c r="T328" s="9"/>
      <c r="U328" s="9"/>
      <c r="V328" s="9"/>
      <c r="W328" s="9"/>
      <c r="X328" s="9"/>
      <c r="Y328" s="9"/>
      <c r="Z328" s="9"/>
    </row>
    <row r="329" ht="15.75" customHeight="1">
      <c r="A329" s="32"/>
      <c r="B329" s="9"/>
      <c r="C329" s="110"/>
      <c r="D329" s="134"/>
      <c r="E329" s="135"/>
      <c r="F329" s="9"/>
      <c r="G329" s="9"/>
      <c r="H329" s="9"/>
      <c r="I329" s="9"/>
      <c r="J329" s="9"/>
      <c r="K329" s="9"/>
      <c r="L329" s="9"/>
      <c r="M329" s="9"/>
      <c r="N329" s="9"/>
      <c r="O329" s="9"/>
      <c r="P329" s="9"/>
      <c r="Q329" s="9"/>
      <c r="R329" s="9"/>
      <c r="S329" s="9"/>
      <c r="T329" s="9"/>
      <c r="U329" s="9"/>
      <c r="V329" s="9"/>
      <c r="W329" s="9"/>
      <c r="X329" s="9"/>
      <c r="Y329" s="9"/>
      <c r="Z329" s="9"/>
    </row>
    <row r="330" ht="15.75" customHeight="1">
      <c r="A330" s="32"/>
      <c r="B330" s="9"/>
      <c r="C330" s="110"/>
      <c r="D330" s="134"/>
      <c r="E330" s="135"/>
      <c r="F330" s="9"/>
      <c r="G330" s="9"/>
      <c r="H330" s="9"/>
      <c r="I330" s="9"/>
      <c r="J330" s="9"/>
      <c r="K330" s="9"/>
      <c r="L330" s="9"/>
      <c r="M330" s="9"/>
      <c r="N330" s="9"/>
      <c r="O330" s="9"/>
      <c r="P330" s="9"/>
      <c r="Q330" s="9"/>
      <c r="R330" s="9"/>
      <c r="S330" s="9"/>
      <c r="T330" s="9"/>
      <c r="U330" s="9"/>
      <c r="V330" s="9"/>
      <c r="W330" s="9"/>
      <c r="X330" s="9"/>
      <c r="Y330" s="9"/>
      <c r="Z330" s="9"/>
    </row>
    <row r="331" ht="15.75" customHeight="1">
      <c r="A331" s="32"/>
      <c r="B331" s="9"/>
      <c r="C331" s="110"/>
      <c r="D331" s="134"/>
      <c r="E331" s="135"/>
      <c r="F331" s="9"/>
      <c r="G331" s="9"/>
      <c r="H331" s="9"/>
      <c r="I331" s="9"/>
      <c r="J331" s="9"/>
      <c r="K331" s="9"/>
      <c r="L331" s="9"/>
      <c r="M331" s="9"/>
      <c r="N331" s="9"/>
      <c r="O331" s="9"/>
      <c r="P331" s="9"/>
      <c r="Q331" s="9"/>
      <c r="R331" s="9"/>
      <c r="S331" s="9"/>
      <c r="T331" s="9"/>
      <c r="U331" s="9"/>
      <c r="V331" s="9"/>
      <c r="W331" s="9"/>
      <c r="X331" s="9"/>
      <c r="Y331" s="9"/>
      <c r="Z331" s="9"/>
    </row>
    <row r="332" ht="15.75" customHeight="1">
      <c r="A332" s="32"/>
      <c r="B332" s="9"/>
      <c r="C332" s="110"/>
      <c r="D332" s="134"/>
      <c r="E332" s="135"/>
      <c r="F332" s="9"/>
      <c r="G332" s="9"/>
      <c r="H332" s="9"/>
      <c r="I332" s="9"/>
      <c r="J332" s="9"/>
      <c r="K332" s="9"/>
      <c r="L332" s="9"/>
      <c r="M332" s="9"/>
      <c r="N332" s="9"/>
      <c r="O332" s="9"/>
      <c r="P332" s="9"/>
      <c r="Q332" s="9"/>
      <c r="R332" s="9"/>
      <c r="S332" s="9"/>
      <c r="T332" s="9"/>
      <c r="U332" s="9"/>
      <c r="V332" s="9"/>
      <c r="W332" s="9"/>
      <c r="X332" s="9"/>
      <c r="Y332" s="9"/>
      <c r="Z332" s="9"/>
    </row>
    <row r="333" ht="15.75" customHeight="1">
      <c r="A333" s="32"/>
      <c r="B333" s="9"/>
      <c r="C333" s="110"/>
      <c r="D333" s="134"/>
      <c r="E333" s="135"/>
      <c r="F333" s="9"/>
      <c r="G333" s="9"/>
      <c r="H333" s="9"/>
      <c r="I333" s="9"/>
      <c r="J333" s="9"/>
      <c r="K333" s="9"/>
      <c r="L333" s="9"/>
      <c r="M333" s="9"/>
      <c r="N333" s="9"/>
      <c r="O333" s="9"/>
      <c r="P333" s="9"/>
      <c r="Q333" s="9"/>
      <c r="R333" s="9"/>
      <c r="S333" s="9"/>
      <c r="T333" s="9"/>
      <c r="U333" s="9"/>
      <c r="V333" s="9"/>
      <c r="W333" s="9"/>
      <c r="X333" s="9"/>
      <c r="Y333" s="9"/>
      <c r="Z333" s="9"/>
    </row>
    <row r="334" ht="15.75" customHeight="1">
      <c r="A334" s="32"/>
      <c r="B334" s="9"/>
      <c r="C334" s="110"/>
      <c r="D334" s="134"/>
      <c r="E334" s="135"/>
      <c r="F334" s="9"/>
      <c r="G334" s="9"/>
      <c r="H334" s="9"/>
      <c r="I334" s="9"/>
      <c r="J334" s="9"/>
      <c r="K334" s="9"/>
      <c r="L334" s="9"/>
      <c r="M334" s="9"/>
      <c r="N334" s="9"/>
      <c r="O334" s="9"/>
      <c r="P334" s="9"/>
      <c r="Q334" s="9"/>
      <c r="R334" s="9"/>
      <c r="S334" s="9"/>
      <c r="T334" s="9"/>
      <c r="U334" s="9"/>
      <c r="V334" s="9"/>
      <c r="W334" s="9"/>
      <c r="X334" s="9"/>
      <c r="Y334" s="9"/>
      <c r="Z334" s="9"/>
    </row>
    <row r="335" ht="15.75" customHeight="1">
      <c r="A335" s="32"/>
      <c r="B335" s="9"/>
      <c r="C335" s="110"/>
      <c r="D335" s="134"/>
      <c r="E335" s="135"/>
      <c r="F335" s="9"/>
      <c r="G335" s="9"/>
      <c r="H335" s="9"/>
      <c r="I335" s="9"/>
      <c r="J335" s="9"/>
      <c r="K335" s="9"/>
      <c r="L335" s="9"/>
      <c r="M335" s="9"/>
      <c r="N335" s="9"/>
      <c r="O335" s="9"/>
      <c r="P335" s="9"/>
      <c r="Q335" s="9"/>
      <c r="R335" s="9"/>
      <c r="S335" s="9"/>
      <c r="T335" s="9"/>
      <c r="U335" s="9"/>
      <c r="V335" s="9"/>
      <c r="W335" s="9"/>
      <c r="X335" s="9"/>
      <c r="Y335" s="9"/>
      <c r="Z335" s="9"/>
    </row>
    <row r="336" ht="15.75" customHeight="1">
      <c r="A336" s="32"/>
      <c r="B336" s="9"/>
      <c r="C336" s="110"/>
      <c r="D336" s="134"/>
      <c r="E336" s="135"/>
      <c r="F336" s="9"/>
      <c r="G336" s="9"/>
      <c r="H336" s="9"/>
      <c r="I336" s="9"/>
      <c r="J336" s="9"/>
      <c r="K336" s="9"/>
      <c r="L336" s="9"/>
      <c r="M336" s="9"/>
      <c r="N336" s="9"/>
      <c r="O336" s="9"/>
      <c r="P336" s="9"/>
      <c r="Q336" s="9"/>
      <c r="R336" s="9"/>
      <c r="S336" s="9"/>
      <c r="T336" s="9"/>
      <c r="U336" s="9"/>
      <c r="V336" s="9"/>
      <c r="W336" s="9"/>
      <c r="X336" s="9"/>
      <c r="Y336" s="9"/>
      <c r="Z336" s="9"/>
    </row>
    <row r="337" ht="15.75" customHeight="1">
      <c r="A337" s="32"/>
      <c r="B337" s="9"/>
      <c r="C337" s="110"/>
      <c r="D337" s="134"/>
      <c r="E337" s="135"/>
      <c r="F337" s="9"/>
      <c r="G337" s="9"/>
      <c r="H337" s="9"/>
      <c r="I337" s="9"/>
      <c r="J337" s="9"/>
      <c r="K337" s="9"/>
      <c r="L337" s="9"/>
      <c r="M337" s="9"/>
      <c r="N337" s="9"/>
      <c r="O337" s="9"/>
      <c r="P337" s="9"/>
      <c r="Q337" s="9"/>
      <c r="R337" s="9"/>
      <c r="S337" s="9"/>
      <c r="T337" s="9"/>
      <c r="U337" s="9"/>
      <c r="V337" s="9"/>
      <c r="W337" s="9"/>
      <c r="X337" s="9"/>
      <c r="Y337" s="9"/>
      <c r="Z337" s="9"/>
    </row>
    <row r="338" ht="15.75" customHeight="1">
      <c r="A338" s="32"/>
      <c r="B338" s="9"/>
      <c r="C338" s="110"/>
      <c r="D338" s="134"/>
      <c r="E338" s="135"/>
      <c r="F338" s="9"/>
      <c r="G338" s="9"/>
      <c r="H338" s="9"/>
      <c r="I338" s="9"/>
      <c r="J338" s="9"/>
      <c r="K338" s="9"/>
      <c r="L338" s="9"/>
      <c r="M338" s="9"/>
      <c r="N338" s="9"/>
      <c r="O338" s="9"/>
      <c r="P338" s="9"/>
      <c r="Q338" s="9"/>
      <c r="R338" s="9"/>
      <c r="S338" s="9"/>
      <c r="T338" s="9"/>
      <c r="U338" s="9"/>
      <c r="V338" s="9"/>
      <c r="W338" s="9"/>
      <c r="X338" s="9"/>
      <c r="Y338" s="9"/>
      <c r="Z338" s="9"/>
    </row>
    <row r="339" ht="15.75" customHeight="1">
      <c r="A339" s="32"/>
      <c r="B339" s="9"/>
      <c r="C339" s="110"/>
      <c r="D339" s="134"/>
      <c r="E339" s="135"/>
      <c r="F339" s="9"/>
      <c r="G339" s="9"/>
      <c r="H339" s="9"/>
      <c r="I339" s="9"/>
      <c r="J339" s="9"/>
      <c r="K339" s="9"/>
      <c r="L339" s="9"/>
      <c r="M339" s="9"/>
      <c r="N339" s="9"/>
      <c r="O339" s="9"/>
      <c r="P339" s="9"/>
      <c r="Q339" s="9"/>
      <c r="R339" s="9"/>
      <c r="S339" s="9"/>
      <c r="T339" s="9"/>
      <c r="U339" s="9"/>
      <c r="V339" s="9"/>
      <c r="W339" s="9"/>
      <c r="X339" s="9"/>
      <c r="Y339" s="9"/>
      <c r="Z339" s="9"/>
    </row>
    <row r="340" ht="15.75" customHeight="1">
      <c r="A340" s="32"/>
      <c r="B340" s="9"/>
      <c r="C340" s="110"/>
      <c r="D340" s="134"/>
      <c r="E340" s="135"/>
      <c r="F340" s="9"/>
      <c r="G340" s="9"/>
      <c r="H340" s="9"/>
      <c r="I340" s="9"/>
      <c r="J340" s="9"/>
      <c r="K340" s="9"/>
      <c r="L340" s="9"/>
      <c r="M340" s="9"/>
      <c r="N340" s="9"/>
      <c r="O340" s="9"/>
      <c r="P340" s="9"/>
      <c r="Q340" s="9"/>
      <c r="R340" s="9"/>
      <c r="S340" s="9"/>
      <c r="T340" s="9"/>
      <c r="U340" s="9"/>
      <c r="V340" s="9"/>
      <c r="W340" s="9"/>
      <c r="X340" s="9"/>
      <c r="Y340" s="9"/>
      <c r="Z340" s="9"/>
    </row>
    <row r="341" ht="15.75" customHeight="1">
      <c r="A341" s="32"/>
      <c r="B341" s="9"/>
      <c r="C341" s="110"/>
      <c r="D341" s="134"/>
      <c r="E341" s="135"/>
      <c r="F341" s="9"/>
      <c r="G341" s="9"/>
      <c r="H341" s="9"/>
      <c r="I341" s="9"/>
      <c r="J341" s="9"/>
      <c r="K341" s="9"/>
      <c r="L341" s="9"/>
      <c r="M341" s="9"/>
      <c r="N341" s="9"/>
      <c r="O341" s="9"/>
      <c r="P341" s="9"/>
      <c r="Q341" s="9"/>
      <c r="R341" s="9"/>
      <c r="S341" s="9"/>
      <c r="T341" s="9"/>
      <c r="U341" s="9"/>
      <c r="V341" s="9"/>
      <c r="W341" s="9"/>
      <c r="X341" s="9"/>
      <c r="Y341" s="9"/>
      <c r="Z341" s="9"/>
    </row>
    <row r="342" ht="15.75" customHeight="1">
      <c r="A342" s="32"/>
      <c r="B342" s="9"/>
      <c r="C342" s="110"/>
      <c r="D342" s="134"/>
      <c r="E342" s="135"/>
      <c r="F342" s="9"/>
      <c r="G342" s="9"/>
      <c r="H342" s="9"/>
      <c r="I342" s="9"/>
      <c r="J342" s="9"/>
      <c r="K342" s="9"/>
      <c r="L342" s="9"/>
      <c r="M342" s="9"/>
      <c r="N342" s="9"/>
      <c r="O342" s="9"/>
      <c r="P342" s="9"/>
      <c r="Q342" s="9"/>
      <c r="R342" s="9"/>
      <c r="S342" s="9"/>
      <c r="T342" s="9"/>
      <c r="U342" s="9"/>
      <c r="V342" s="9"/>
      <c r="W342" s="9"/>
      <c r="X342" s="9"/>
      <c r="Y342" s="9"/>
      <c r="Z342" s="9"/>
    </row>
    <row r="343" ht="15.75" customHeight="1">
      <c r="A343" s="32"/>
      <c r="B343" s="9"/>
      <c r="C343" s="110"/>
      <c r="D343" s="134"/>
      <c r="E343" s="135"/>
      <c r="F343" s="9"/>
      <c r="G343" s="9"/>
      <c r="H343" s="9"/>
      <c r="I343" s="9"/>
      <c r="J343" s="9"/>
      <c r="K343" s="9"/>
      <c r="L343" s="9"/>
      <c r="M343" s="9"/>
      <c r="N343" s="9"/>
      <c r="O343" s="9"/>
      <c r="P343" s="9"/>
      <c r="Q343" s="9"/>
      <c r="R343" s="9"/>
      <c r="S343" s="9"/>
      <c r="T343" s="9"/>
      <c r="U343" s="9"/>
      <c r="V343" s="9"/>
      <c r="W343" s="9"/>
      <c r="X343" s="9"/>
      <c r="Y343" s="9"/>
      <c r="Z343" s="9"/>
    </row>
    <row r="344" ht="15.75" customHeight="1">
      <c r="A344" s="32"/>
      <c r="B344" s="9"/>
      <c r="C344" s="110"/>
      <c r="D344" s="134"/>
      <c r="E344" s="135"/>
      <c r="F344" s="9"/>
      <c r="G344" s="9"/>
      <c r="H344" s="9"/>
      <c r="I344" s="9"/>
      <c r="J344" s="9"/>
      <c r="K344" s="9"/>
      <c r="L344" s="9"/>
      <c r="M344" s="9"/>
      <c r="N344" s="9"/>
      <c r="O344" s="9"/>
      <c r="P344" s="9"/>
      <c r="Q344" s="9"/>
      <c r="R344" s="9"/>
      <c r="S344" s="9"/>
      <c r="T344" s="9"/>
      <c r="U344" s="9"/>
      <c r="V344" s="9"/>
      <c r="W344" s="9"/>
      <c r="X344" s="9"/>
      <c r="Y344" s="9"/>
      <c r="Z344" s="9"/>
    </row>
    <row r="345" ht="15.75" customHeight="1">
      <c r="A345" s="32"/>
      <c r="B345" s="9"/>
      <c r="C345" s="110"/>
      <c r="D345" s="134"/>
      <c r="E345" s="135"/>
      <c r="F345" s="9"/>
      <c r="G345" s="9"/>
      <c r="H345" s="9"/>
      <c r="I345" s="9"/>
      <c r="J345" s="9"/>
      <c r="K345" s="9"/>
      <c r="L345" s="9"/>
      <c r="M345" s="9"/>
      <c r="N345" s="9"/>
      <c r="O345" s="9"/>
      <c r="P345" s="9"/>
      <c r="Q345" s="9"/>
      <c r="R345" s="9"/>
      <c r="S345" s="9"/>
      <c r="T345" s="9"/>
      <c r="U345" s="9"/>
      <c r="V345" s="9"/>
      <c r="W345" s="9"/>
      <c r="X345" s="9"/>
      <c r="Y345" s="9"/>
      <c r="Z345" s="9"/>
    </row>
    <row r="346" ht="15.75" customHeight="1">
      <c r="A346" s="32"/>
      <c r="B346" s="9"/>
      <c r="C346" s="110"/>
      <c r="D346" s="134"/>
      <c r="E346" s="135"/>
      <c r="F346" s="9"/>
      <c r="G346" s="9"/>
      <c r="H346" s="9"/>
      <c r="I346" s="9"/>
      <c r="J346" s="9"/>
      <c r="K346" s="9"/>
      <c r="L346" s="9"/>
      <c r="M346" s="9"/>
      <c r="N346" s="9"/>
      <c r="O346" s="9"/>
      <c r="P346" s="9"/>
      <c r="Q346" s="9"/>
      <c r="R346" s="9"/>
      <c r="S346" s="9"/>
      <c r="T346" s="9"/>
      <c r="U346" s="9"/>
      <c r="V346" s="9"/>
      <c r="W346" s="9"/>
      <c r="X346" s="9"/>
      <c r="Y346" s="9"/>
      <c r="Z346" s="9"/>
    </row>
    <row r="347" ht="15.75" customHeight="1">
      <c r="A347" s="32"/>
      <c r="B347" s="9"/>
      <c r="C347" s="110"/>
      <c r="D347" s="134"/>
      <c r="E347" s="135"/>
      <c r="F347" s="9"/>
      <c r="G347" s="9"/>
      <c r="H347" s="9"/>
      <c r="I347" s="9"/>
      <c r="J347" s="9"/>
      <c r="K347" s="9"/>
      <c r="L347" s="9"/>
      <c r="M347" s="9"/>
      <c r="N347" s="9"/>
      <c r="O347" s="9"/>
      <c r="P347" s="9"/>
      <c r="Q347" s="9"/>
      <c r="R347" s="9"/>
      <c r="S347" s="9"/>
      <c r="T347" s="9"/>
      <c r="U347" s="9"/>
      <c r="V347" s="9"/>
      <c r="W347" s="9"/>
      <c r="X347" s="9"/>
      <c r="Y347" s="9"/>
      <c r="Z347" s="9"/>
    </row>
    <row r="348" ht="15.75" customHeight="1">
      <c r="A348" s="32"/>
      <c r="B348" s="9"/>
      <c r="C348" s="110"/>
      <c r="D348" s="134"/>
      <c r="E348" s="135"/>
      <c r="F348" s="9"/>
      <c r="G348" s="9"/>
      <c r="H348" s="9"/>
      <c r="I348" s="9"/>
      <c r="J348" s="9"/>
      <c r="K348" s="9"/>
      <c r="L348" s="9"/>
      <c r="M348" s="9"/>
      <c r="N348" s="9"/>
      <c r="O348" s="9"/>
      <c r="P348" s="9"/>
      <c r="Q348" s="9"/>
      <c r="R348" s="9"/>
      <c r="S348" s="9"/>
      <c r="T348" s="9"/>
      <c r="U348" s="9"/>
      <c r="V348" s="9"/>
      <c r="W348" s="9"/>
      <c r="X348" s="9"/>
      <c r="Y348" s="9"/>
      <c r="Z348" s="9"/>
    </row>
    <row r="349" ht="15.75" customHeight="1">
      <c r="A349" s="32"/>
      <c r="B349" s="9"/>
      <c r="C349" s="110"/>
      <c r="D349" s="134"/>
      <c r="E349" s="135"/>
      <c r="F349" s="9"/>
      <c r="G349" s="9"/>
      <c r="H349" s="9"/>
      <c r="I349" s="9"/>
      <c r="J349" s="9"/>
      <c r="K349" s="9"/>
      <c r="L349" s="9"/>
      <c r="M349" s="9"/>
      <c r="N349" s="9"/>
      <c r="O349" s="9"/>
      <c r="P349" s="9"/>
      <c r="Q349" s="9"/>
      <c r="R349" s="9"/>
      <c r="S349" s="9"/>
      <c r="T349" s="9"/>
      <c r="U349" s="9"/>
      <c r="V349" s="9"/>
      <c r="W349" s="9"/>
      <c r="X349" s="9"/>
      <c r="Y349" s="9"/>
      <c r="Z349" s="9"/>
    </row>
    <row r="350" ht="15.75" customHeight="1">
      <c r="A350" s="32"/>
      <c r="B350" s="9"/>
      <c r="C350" s="110"/>
      <c r="D350" s="134"/>
      <c r="E350" s="135"/>
      <c r="F350" s="9"/>
      <c r="G350" s="9"/>
      <c r="H350" s="9"/>
      <c r="I350" s="9"/>
      <c r="J350" s="9"/>
      <c r="K350" s="9"/>
      <c r="L350" s="9"/>
      <c r="M350" s="9"/>
      <c r="N350" s="9"/>
      <c r="O350" s="9"/>
      <c r="P350" s="9"/>
      <c r="Q350" s="9"/>
      <c r="R350" s="9"/>
      <c r="S350" s="9"/>
      <c r="T350" s="9"/>
      <c r="U350" s="9"/>
      <c r="V350" s="9"/>
      <c r="W350" s="9"/>
      <c r="X350" s="9"/>
      <c r="Y350" s="9"/>
      <c r="Z350" s="9"/>
    </row>
    <row r="351" ht="15.75" customHeight="1">
      <c r="A351" s="32"/>
      <c r="B351" s="9"/>
      <c r="C351" s="110"/>
      <c r="D351" s="134"/>
      <c r="E351" s="135"/>
      <c r="F351" s="9"/>
      <c r="G351" s="9"/>
      <c r="H351" s="9"/>
      <c r="I351" s="9"/>
      <c r="J351" s="9"/>
      <c r="K351" s="9"/>
      <c r="L351" s="9"/>
      <c r="M351" s="9"/>
      <c r="N351" s="9"/>
      <c r="O351" s="9"/>
      <c r="P351" s="9"/>
      <c r="Q351" s="9"/>
      <c r="R351" s="9"/>
      <c r="S351" s="9"/>
      <c r="T351" s="9"/>
      <c r="U351" s="9"/>
      <c r="V351" s="9"/>
      <c r="W351" s="9"/>
      <c r="X351" s="9"/>
      <c r="Y351" s="9"/>
      <c r="Z351" s="9"/>
    </row>
    <row r="352" ht="15.75" customHeight="1">
      <c r="A352" s="32"/>
      <c r="B352" s="9"/>
      <c r="C352" s="110"/>
      <c r="D352" s="134"/>
      <c r="E352" s="135"/>
      <c r="F352" s="9"/>
      <c r="G352" s="9"/>
      <c r="H352" s="9"/>
      <c r="I352" s="9"/>
      <c r="J352" s="9"/>
      <c r="K352" s="9"/>
      <c r="L352" s="9"/>
      <c r="M352" s="9"/>
      <c r="N352" s="9"/>
      <c r="O352" s="9"/>
      <c r="P352" s="9"/>
      <c r="Q352" s="9"/>
      <c r="R352" s="9"/>
      <c r="S352" s="9"/>
      <c r="T352" s="9"/>
      <c r="U352" s="9"/>
      <c r="V352" s="9"/>
      <c r="W352" s="9"/>
      <c r="X352" s="9"/>
      <c r="Y352" s="9"/>
      <c r="Z352" s="9"/>
    </row>
    <row r="353" ht="15.75" customHeight="1">
      <c r="A353" s="32"/>
      <c r="B353" s="9"/>
      <c r="C353" s="110"/>
      <c r="D353" s="134"/>
      <c r="E353" s="135"/>
      <c r="F353" s="9"/>
      <c r="G353" s="9"/>
      <c r="H353" s="9"/>
      <c r="I353" s="9"/>
      <c r="J353" s="9"/>
      <c r="K353" s="9"/>
      <c r="L353" s="9"/>
      <c r="M353" s="9"/>
      <c r="N353" s="9"/>
      <c r="O353" s="9"/>
      <c r="P353" s="9"/>
      <c r="Q353" s="9"/>
      <c r="R353" s="9"/>
      <c r="S353" s="9"/>
      <c r="T353" s="9"/>
      <c r="U353" s="9"/>
      <c r="V353" s="9"/>
      <c r="W353" s="9"/>
      <c r="X353" s="9"/>
      <c r="Y353" s="9"/>
      <c r="Z353" s="9"/>
    </row>
    <row r="354" ht="15.75" customHeight="1">
      <c r="A354" s="32"/>
      <c r="B354" s="9"/>
      <c r="C354" s="110"/>
      <c r="D354" s="134"/>
      <c r="E354" s="135"/>
      <c r="F354" s="9"/>
      <c r="G354" s="9"/>
      <c r="H354" s="9"/>
      <c r="I354" s="9"/>
      <c r="J354" s="9"/>
      <c r="K354" s="9"/>
      <c r="L354" s="9"/>
      <c r="M354" s="9"/>
      <c r="N354" s="9"/>
      <c r="O354" s="9"/>
      <c r="P354" s="9"/>
      <c r="Q354" s="9"/>
      <c r="R354" s="9"/>
      <c r="S354" s="9"/>
      <c r="T354" s="9"/>
      <c r="U354" s="9"/>
      <c r="V354" s="9"/>
      <c r="W354" s="9"/>
      <c r="X354" s="9"/>
      <c r="Y354" s="9"/>
      <c r="Z354" s="9"/>
    </row>
    <row r="355" ht="15.75" customHeight="1">
      <c r="A355" s="32"/>
      <c r="B355" s="9"/>
      <c r="C355" s="110"/>
      <c r="D355" s="134"/>
      <c r="E355" s="135"/>
      <c r="F355" s="9"/>
      <c r="G355" s="9"/>
      <c r="H355" s="9"/>
      <c r="I355" s="9"/>
      <c r="J355" s="9"/>
      <c r="K355" s="9"/>
      <c r="L355" s="9"/>
      <c r="M355" s="9"/>
      <c r="N355" s="9"/>
      <c r="O355" s="9"/>
      <c r="P355" s="9"/>
      <c r="Q355" s="9"/>
      <c r="R355" s="9"/>
      <c r="S355" s="9"/>
      <c r="T355" s="9"/>
      <c r="U355" s="9"/>
      <c r="V355" s="9"/>
      <c r="W355" s="9"/>
      <c r="X355" s="9"/>
      <c r="Y355" s="9"/>
      <c r="Z355" s="9"/>
    </row>
    <row r="356" ht="15.75" customHeight="1">
      <c r="A356" s="32"/>
      <c r="B356" s="9"/>
      <c r="C356" s="110"/>
      <c r="D356" s="134"/>
      <c r="E356" s="135"/>
      <c r="F356" s="9"/>
      <c r="G356" s="9"/>
      <c r="H356" s="9"/>
      <c r="I356" s="9"/>
      <c r="J356" s="9"/>
      <c r="K356" s="9"/>
      <c r="L356" s="9"/>
      <c r="M356" s="9"/>
      <c r="N356" s="9"/>
      <c r="O356" s="9"/>
      <c r="P356" s="9"/>
      <c r="Q356" s="9"/>
      <c r="R356" s="9"/>
      <c r="S356" s="9"/>
      <c r="T356" s="9"/>
      <c r="U356" s="9"/>
      <c r="V356" s="9"/>
      <c r="W356" s="9"/>
      <c r="X356" s="9"/>
      <c r="Y356" s="9"/>
      <c r="Z356" s="9"/>
    </row>
    <row r="357" ht="15.75" customHeight="1">
      <c r="A357" s="32"/>
      <c r="B357" s="9"/>
      <c r="C357" s="110"/>
      <c r="D357" s="134"/>
      <c r="E357" s="135"/>
      <c r="F357" s="9"/>
      <c r="G357" s="9"/>
      <c r="H357" s="9"/>
      <c r="I357" s="9"/>
      <c r="J357" s="9"/>
      <c r="K357" s="9"/>
      <c r="L357" s="9"/>
      <c r="M357" s="9"/>
      <c r="N357" s="9"/>
      <c r="O357" s="9"/>
      <c r="P357" s="9"/>
      <c r="Q357" s="9"/>
      <c r="R357" s="9"/>
      <c r="S357" s="9"/>
      <c r="T357" s="9"/>
      <c r="U357" s="9"/>
      <c r="V357" s="9"/>
      <c r="W357" s="9"/>
      <c r="X357" s="9"/>
      <c r="Y357" s="9"/>
      <c r="Z357" s="9"/>
    </row>
    <row r="358" ht="15.75" customHeight="1">
      <c r="A358" s="32"/>
      <c r="B358" s="9"/>
      <c r="C358" s="110"/>
      <c r="D358" s="134"/>
      <c r="E358" s="135"/>
      <c r="F358" s="9"/>
      <c r="G358" s="9"/>
      <c r="H358" s="9"/>
      <c r="I358" s="9"/>
      <c r="J358" s="9"/>
      <c r="K358" s="9"/>
      <c r="L358" s="9"/>
      <c r="M358" s="9"/>
      <c r="N358" s="9"/>
      <c r="O358" s="9"/>
      <c r="P358" s="9"/>
      <c r="Q358" s="9"/>
      <c r="R358" s="9"/>
      <c r="S358" s="9"/>
      <c r="T358" s="9"/>
      <c r="U358" s="9"/>
      <c r="V358" s="9"/>
      <c r="W358" s="9"/>
      <c r="X358" s="9"/>
      <c r="Y358" s="9"/>
      <c r="Z358" s="9"/>
    </row>
    <row r="359" ht="15.75" customHeight="1">
      <c r="A359" s="32"/>
      <c r="B359" s="9"/>
      <c r="C359" s="110"/>
      <c r="D359" s="134"/>
      <c r="E359" s="135"/>
      <c r="F359" s="9"/>
      <c r="G359" s="9"/>
      <c r="H359" s="9"/>
      <c r="I359" s="9"/>
      <c r="J359" s="9"/>
      <c r="K359" s="9"/>
      <c r="L359" s="9"/>
      <c r="M359" s="9"/>
      <c r="N359" s="9"/>
      <c r="O359" s="9"/>
      <c r="P359" s="9"/>
      <c r="Q359" s="9"/>
      <c r="R359" s="9"/>
      <c r="S359" s="9"/>
      <c r="T359" s="9"/>
      <c r="U359" s="9"/>
      <c r="V359" s="9"/>
      <c r="W359" s="9"/>
      <c r="X359" s="9"/>
      <c r="Y359" s="9"/>
      <c r="Z359" s="9"/>
    </row>
    <row r="360" ht="15.75" customHeight="1">
      <c r="A360" s="32"/>
      <c r="B360" s="9"/>
      <c r="C360" s="110"/>
      <c r="D360" s="134"/>
      <c r="E360" s="135"/>
      <c r="F360" s="9"/>
      <c r="G360" s="9"/>
      <c r="H360" s="9"/>
      <c r="I360" s="9"/>
      <c r="J360" s="9"/>
      <c r="K360" s="9"/>
      <c r="L360" s="9"/>
      <c r="M360" s="9"/>
      <c r="N360" s="9"/>
      <c r="O360" s="9"/>
      <c r="P360" s="9"/>
      <c r="Q360" s="9"/>
      <c r="R360" s="9"/>
      <c r="S360" s="9"/>
      <c r="T360" s="9"/>
      <c r="U360" s="9"/>
      <c r="V360" s="9"/>
      <c r="W360" s="9"/>
      <c r="X360" s="9"/>
      <c r="Y360" s="9"/>
      <c r="Z360" s="9"/>
    </row>
    <row r="361" ht="15.75" customHeight="1">
      <c r="A361" s="32"/>
      <c r="B361" s="9"/>
      <c r="C361" s="110"/>
      <c r="D361" s="134"/>
      <c r="E361" s="135"/>
      <c r="F361" s="9"/>
      <c r="G361" s="9"/>
      <c r="H361" s="9"/>
      <c r="I361" s="9"/>
      <c r="J361" s="9"/>
      <c r="K361" s="9"/>
      <c r="L361" s="9"/>
      <c r="M361" s="9"/>
      <c r="N361" s="9"/>
      <c r="O361" s="9"/>
      <c r="P361" s="9"/>
      <c r="Q361" s="9"/>
      <c r="R361" s="9"/>
      <c r="S361" s="9"/>
      <c r="T361" s="9"/>
      <c r="U361" s="9"/>
      <c r="V361" s="9"/>
      <c r="W361" s="9"/>
      <c r="X361" s="9"/>
      <c r="Y361" s="9"/>
      <c r="Z361" s="9"/>
    </row>
    <row r="362" ht="15.75" customHeight="1">
      <c r="A362" s="32"/>
      <c r="B362" s="9"/>
      <c r="C362" s="110"/>
      <c r="D362" s="134"/>
      <c r="E362" s="135"/>
      <c r="F362" s="9"/>
      <c r="G362" s="9"/>
      <c r="H362" s="9"/>
      <c r="I362" s="9"/>
      <c r="J362" s="9"/>
      <c r="K362" s="9"/>
      <c r="L362" s="9"/>
      <c r="M362" s="9"/>
      <c r="N362" s="9"/>
      <c r="O362" s="9"/>
      <c r="P362" s="9"/>
      <c r="Q362" s="9"/>
      <c r="R362" s="9"/>
      <c r="S362" s="9"/>
      <c r="T362" s="9"/>
      <c r="U362" s="9"/>
      <c r="V362" s="9"/>
      <c r="W362" s="9"/>
      <c r="X362" s="9"/>
      <c r="Y362" s="9"/>
      <c r="Z362" s="9"/>
    </row>
    <row r="363" ht="15.75" customHeight="1">
      <c r="A363" s="32"/>
      <c r="B363" s="9"/>
      <c r="C363" s="110"/>
      <c r="D363" s="134"/>
      <c r="E363" s="135"/>
      <c r="F363" s="9"/>
      <c r="G363" s="9"/>
      <c r="H363" s="9"/>
      <c r="I363" s="9"/>
      <c r="J363" s="9"/>
      <c r="K363" s="9"/>
      <c r="L363" s="9"/>
      <c r="M363" s="9"/>
      <c r="N363" s="9"/>
      <c r="O363" s="9"/>
      <c r="P363" s="9"/>
      <c r="Q363" s="9"/>
      <c r="R363" s="9"/>
      <c r="S363" s="9"/>
      <c r="T363" s="9"/>
      <c r="U363" s="9"/>
      <c r="V363" s="9"/>
      <c r="W363" s="9"/>
      <c r="X363" s="9"/>
      <c r="Y363" s="9"/>
      <c r="Z363" s="9"/>
    </row>
    <row r="364" ht="15.75" customHeight="1">
      <c r="A364" s="32"/>
      <c r="B364" s="9"/>
      <c r="C364" s="110"/>
      <c r="D364" s="134"/>
      <c r="E364" s="135"/>
      <c r="F364" s="9"/>
      <c r="G364" s="9"/>
      <c r="H364" s="9"/>
      <c r="I364" s="9"/>
      <c r="J364" s="9"/>
      <c r="K364" s="9"/>
      <c r="L364" s="9"/>
      <c r="M364" s="9"/>
      <c r="N364" s="9"/>
      <c r="O364" s="9"/>
      <c r="P364" s="9"/>
      <c r="Q364" s="9"/>
      <c r="R364" s="9"/>
      <c r="S364" s="9"/>
      <c r="T364" s="9"/>
      <c r="U364" s="9"/>
      <c r="V364" s="9"/>
      <c r="W364" s="9"/>
      <c r="X364" s="9"/>
      <c r="Y364" s="9"/>
      <c r="Z364" s="9"/>
    </row>
    <row r="365" ht="15.75" customHeight="1">
      <c r="A365" s="32"/>
      <c r="B365" s="9"/>
      <c r="C365" s="110"/>
      <c r="D365" s="134"/>
      <c r="E365" s="135"/>
      <c r="F365" s="9"/>
      <c r="G365" s="9"/>
      <c r="H365" s="9"/>
      <c r="I365" s="9"/>
      <c r="J365" s="9"/>
      <c r="K365" s="9"/>
      <c r="L365" s="9"/>
      <c r="M365" s="9"/>
      <c r="N365" s="9"/>
      <c r="O365" s="9"/>
      <c r="P365" s="9"/>
      <c r="Q365" s="9"/>
      <c r="R365" s="9"/>
      <c r="S365" s="9"/>
      <c r="T365" s="9"/>
      <c r="U365" s="9"/>
      <c r="V365" s="9"/>
      <c r="W365" s="9"/>
      <c r="X365" s="9"/>
      <c r="Y365" s="9"/>
      <c r="Z365" s="9"/>
    </row>
    <row r="366" ht="15.75" customHeight="1">
      <c r="A366" s="32"/>
      <c r="B366" s="9"/>
      <c r="C366" s="110"/>
      <c r="D366" s="134"/>
      <c r="E366" s="135"/>
      <c r="F366" s="9"/>
      <c r="G366" s="9"/>
      <c r="H366" s="9"/>
      <c r="I366" s="9"/>
      <c r="J366" s="9"/>
      <c r="K366" s="9"/>
      <c r="L366" s="9"/>
      <c r="M366" s="9"/>
      <c r="N366" s="9"/>
      <c r="O366" s="9"/>
      <c r="P366" s="9"/>
      <c r="Q366" s="9"/>
      <c r="R366" s="9"/>
      <c r="S366" s="9"/>
      <c r="T366" s="9"/>
      <c r="U366" s="9"/>
      <c r="V366" s="9"/>
      <c r="W366" s="9"/>
      <c r="X366" s="9"/>
      <c r="Y366" s="9"/>
      <c r="Z366" s="9"/>
    </row>
    <row r="367" ht="15.75" customHeight="1">
      <c r="A367" s="32"/>
      <c r="B367" s="9"/>
      <c r="C367" s="110"/>
      <c r="D367" s="134"/>
      <c r="E367" s="135"/>
      <c r="F367" s="9"/>
      <c r="G367" s="9"/>
      <c r="H367" s="9"/>
      <c r="I367" s="9"/>
      <c r="J367" s="9"/>
      <c r="K367" s="9"/>
      <c r="L367" s="9"/>
      <c r="M367" s="9"/>
      <c r="N367" s="9"/>
      <c r="O367" s="9"/>
      <c r="P367" s="9"/>
      <c r="Q367" s="9"/>
      <c r="R367" s="9"/>
      <c r="S367" s="9"/>
      <c r="T367" s="9"/>
      <c r="U367" s="9"/>
      <c r="V367" s="9"/>
      <c r="W367" s="9"/>
      <c r="X367" s="9"/>
      <c r="Y367" s="9"/>
      <c r="Z367" s="9"/>
    </row>
    <row r="368" ht="15.75" customHeight="1">
      <c r="A368" s="32"/>
      <c r="B368" s="9"/>
      <c r="C368" s="110"/>
      <c r="D368" s="134"/>
      <c r="E368" s="135"/>
      <c r="F368" s="9"/>
      <c r="G368" s="9"/>
      <c r="H368" s="9"/>
      <c r="I368" s="9"/>
      <c r="J368" s="9"/>
      <c r="K368" s="9"/>
      <c r="L368" s="9"/>
      <c r="M368" s="9"/>
      <c r="N368" s="9"/>
      <c r="O368" s="9"/>
      <c r="P368" s="9"/>
      <c r="Q368" s="9"/>
      <c r="R368" s="9"/>
      <c r="S368" s="9"/>
      <c r="T368" s="9"/>
      <c r="U368" s="9"/>
      <c r="V368" s="9"/>
      <c r="W368" s="9"/>
      <c r="X368" s="9"/>
      <c r="Y368" s="9"/>
      <c r="Z368" s="9"/>
    </row>
    <row r="369" ht="15.75" customHeight="1">
      <c r="A369" s="32"/>
      <c r="B369" s="9"/>
      <c r="C369" s="110"/>
      <c r="D369" s="134"/>
      <c r="E369" s="135"/>
      <c r="F369" s="9"/>
      <c r="G369" s="9"/>
      <c r="H369" s="9"/>
      <c r="I369" s="9"/>
      <c r="J369" s="9"/>
      <c r="K369" s="9"/>
      <c r="L369" s="9"/>
      <c r="M369" s="9"/>
      <c r="N369" s="9"/>
      <c r="O369" s="9"/>
      <c r="P369" s="9"/>
      <c r="Q369" s="9"/>
      <c r="R369" s="9"/>
      <c r="S369" s="9"/>
      <c r="T369" s="9"/>
      <c r="U369" s="9"/>
      <c r="V369" s="9"/>
      <c r="W369" s="9"/>
      <c r="X369" s="9"/>
      <c r="Y369" s="9"/>
      <c r="Z369" s="9"/>
    </row>
    <row r="370" ht="15.75" customHeight="1">
      <c r="A370" s="32"/>
      <c r="B370" s="9"/>
      <c r="C370" s="110"/>
      <c r="D370" s="134"/>
      <c r="E370" s="135"/>
      <c r="F370" s="9"/>
      <c r="G370" s="9"/>
      <c r="H370" s="9"/>
      <c r="I370" s="9"/>
      <c r="J370" s="9"/>
      <c r="K370" s="9"/>
      <c r="L370" s="9"/>
      <c r="M370" s="9"/>
      <c r="N370" s="9"/>
      <c r="O370" s="9"/>
      <c r="P370" s="9"/>
      <c r="Q370" s="9"/>
      <c r="R370" s="9"/>
      <c r="S370" s="9"/>
      <c r="T370" s="9"/>
      <c r="U370" s="9"/>
      <c r="V370" s="9"/>
      <c r="W370" s="9"/>
      <c r="X370" s="9"/>
      <c r="Y370" s="9"/>
      <c r="Z370" s="9"/>
    </row>
    <row r="371" ht="15.75" customHeight="1">
      <c r="A371" s="32"/>
      <c r="B371" s="9"/>
      <c r="C371" s="110"/>
      <c r="D371" s="134"/>
      <c r="E371" s="135"/>
      <c r="F371" s="9"/>
      <c r="G371" s="9"/>
      <c r="H371" s="9"/>
      <c r="I371" s="9"/>
      <c r="J371" s="9"/>
      <c r="K371" s="9"/>
      <c r="L371" s="9"/>
      <c r="M371" s="9"/>
      <c r="N371" s="9"/>
      <c r="O371" s="9"/>
      <c r="P371" s="9"/>
      <c r="Q371" s="9"/>
      <c r="R371" s="9"/>
      <c r="S371" s="9"/>
      <c r="T371" s="9"/>
      <c r="U371" s="9"/>
      <c r="V371" s="9"/>
      <c r="W371" s="9"/>
      <c r="X371" s="9"/>
      <c r="Y371" s="9"/>
      <c r="Z371" s="9"/>
    </row>
    <row r="372" ht="15.75" customHeight="1">
      <c r="A372" s="32"/>
      <c r="B372" s="9"/>
      <c r="C372" s="110"/>
      <c r="D372" s="134"/>
      <c r="E372" s="135"/>
      <c r="F372" s="9"/>
      <c r="G372" s="9"/>
      <c r="H372" s="9"/>
      <c r="I372" s="9"/>
      <c r="J372" s="9"/>
      <c r="K372" s="9"/>
      <c r="L372" s="9"/>
      <c r="M372" s="9"/>
      <c r="N372" s="9"/>
      <c r="O372" s="9"/>
      <c r="P372" s="9"/>
      <c r="Q372" s="9"/>
      <c r="R372" s="9"/>
      <c r="S372" s="9"/>
      <c r="T372" s="9"/>
      <c r="U372" s="9"/>
      <c r="V372" s="9"/>
      <c r="W372" s="9"/>
      <c r="X372" s="9"/>
      <c r="Y372" s="9"/>
      <c r="Z372" s="9"/>
    </row>
    <row r="373" ht="15.75" customHeight="1">
      <c r="A373" s="32"/>
      <c r="B373" s="9"/>
      <c r="C373" s="110"/>
      <c r="D373" s="134"/>
      <c r="E373" s="135"/>
      <c r="F373" s="9"/>
      <c r="G373" s="9"/>
      <c r="H373" s="9"/>
      <c r="I373" s="9"/>
      <c r="J373" s="9"/>
      <c r="K373" s="9"/>
      <c r="L373" s="9"/>
      <c r="M373" s="9"/>
      <c r="N373" s="9"/>
      <c r="O373" s="9"/>
      <c r="P373" s="9"/>
      <c r="Q373" s="9"/>
      <c r="R373" s="9"/>
      <c r="S373" s="9"/>
      <c r="T373" s="9"/>
      <c r="U373" s="9"/>
      <c r="V373" s="9"/>
      <c r="W373" s="9"/>
      <c r="X373" s="9"/>
      <c r="Y373" s="9"/>
      <c r="Z373" s="9"/>
    </row>
    <row r="374" ht="15.75" customHeight="1">
      <c r="A374" s="32"/>
      <c r="B374" s="9"/>
      <c r="C374" s="110"/>
      <c r="D374" s="134"/>
      <c r="E374" s="135"/>
      <c r="F374" s="9"/>
      <c r="G374" s="9"/>
      <c r="H374" s="9"/>
      <c r="I374" s="9"/>
      <c r="J374" s="9"/>
      <c r="K374" s="9"/>
      <c r="L374" s="9"/>
      <c r="M374" s="9"/>
      <c r="N374" s="9"/>
      <c r="O374" s="9"/>
      <c r="P374" s="9"/>
      <c r="Q374" s="9"/>
      <c r="R374" s="9"/>
      <c r="S374" s="9"/>
      <c r="T374" s="9"/>
      <c r="U374" s="9"/>
      <c r="V374" s="9"/>
      <c r="W374" s="9"/>
      <c r="X374" s="9"/>
      <c r="Y374" s="9"/>
      <c r="Z374" s="9"/>
    </row>
    <row r="375" ht="15.75" customHeight="1">
      <c r="A375" s="32"/>
      <c r="B375" s="9"/>
      <c r="C375" s="110"/>
      <c r="D375" s="134"/>
      <c r="E375" s="135"/>
      <c r="F375" s="9"/>
      <c r="G375" s="9"/>
      <c r="H375" s="9"/>
      <c r="I375" s="9"/>
      <c r="J375" s="9"/>
      <c r="K375" s="9"/>
      <c r="L375" s="9"/>
      <c r="M375" s="9"/>
      <c r="N375" s="9"/>
      <c r="O375" s="9"/>
      <c r="P375" s="9"/>
      <c r="Q375" s="9"/>
      <c r="R375" s="9"/>
      <c r="S375" s="9"/>
      <c r="T375" s="9"/>
      <c r="U375" s="9"/>
      <c r="V375" s="9"/>
      <c r="W375" s="9"/>
      <c r="X375" s="9"/>
      <c r="Y375" s="9"/>
      <c r="Z375" s="9"/>
    </row>
    <row r="376" ht="15.75" customHeight="1">
      <c r="A376" s="32"/>
      <c r="B376" s="9"/>
      <c r="C376" s="110"/>
      <c r="D376" s="134"/>
      <c r="E376" s="135"/>
      <c r="F376" s="9"/>
      <c r="G376" s="9"/>
      <c r="H376" s="9"/>
      <c r="I376" s="9"/>
      <c r="J376" s="9"/>
      <c r="K376" s="9"/>
      <c r="L376" s="9"/>
      <c r="M376" s="9"/>
      <c r="N376" s="9"/>
      <c r="O376" s="9"/>
      <c r="P376" s="9"/>
      <c r="Q376" s="9"/>
      <c r="R376" s="9"/>
      <c r="S376" s="9"/>
      <c r="T376" s="9"/>
      <c r="U376" s="9"/>
      <c r="V376" s="9"/>
      <c r="W376" s="9"/>
      <c r="X376" s="9"/>
      <c r="Y376" s="9"/>
      <c r="Z376" s="9"/>
    </row>
    <row r="377" ht="15.75" customHeight="1">
      <c r="A377" s="32"/>
      <c r="B377" s="9"/>
      <c r="C377" s="110"/>
      <c r="D377" s="134"/>
      <c r="E377" s="135"/>
      <c r="F377" s="9"/>
      <c r="G377" s="9"/>
      <c r="H377" s="9"/>
      <c r="I377" s="9"/>
      <c r="J377" s="9"/>
      <c r="K377" s="9"/>
      <c r="L377" s="9"/>
      <c r="M377" s="9"/>
      <c r="N377" s="9"/>
      <c r="O377" s="9"/>
      <c r="P377" s="9"/>
      <c r="Q377" s="9"/>
      <c r="R377" s="9"/>
      <c r="S377" s="9"/>
      <c r="T377" s="9"/>
      <c r="U377" s="9"/>
      <c r="V377" s="9"/>
      <c r="W377" s="9"/>
      <c r="X377" s="9"/>
      <c r="Y377" s="9"/>
      <c r="Z377" s="9"/>
    </row>
    <row r="378" ht="15.75" customHeight="1">
      <c r="A378" s="32"/>
      <c r="B378" s="9"/>
      <c r="C378" s="110"/>
      <c r="D378" s="134"/>
      <c r="E378" s="135"/>
      <c r="F378" s="9"/>
      <c r="G378" s="9"/>
      <c r="H378" s="9"/>
      <c r="I378" s="9"/>
      <c r="J378" s="9"/>
      <c r="K378" s="9"/>
      <c r="L378" s="9"/>
      <c r="M378" s="9"/>
      <c r="N378" s="9"/>
      <c r="O378" s="9"/>
      <c r="P378" s="9"/>
      <c r="Q378" s="9"/>
      <c r="R378" s="9"/>
      <c r="S378" s="9"/>
      <c r="T378" s="9"/>
      <c r="U378" s="9"/>
      <c r="V378" s="9"/>
      <c r="W378" s="9"/>
      <c r="X378" s="9"/>
      <c r="Y378" s="9"/>
      <c r="Z378" s="9"/>
    </row>
    <row r="379" ht="15.75" customHeight="1">
      <c r="A379" s="32"/>
      <c r="B379" s="9"/>
      <c r="C379" s="110"/>
      <c r="D379" s="134"/>
      <c r="E379" s="135"/>
      <c r="F379" s="9"/>
      <c r="G379" s="9"/>
      <c r="H379" s="9"/>
      <c r="I379" s="9"/>
      <c r="J379" s="9"/>
      <c r="K379" s="9"/>
      <c r="L379" s="9"/>
      <c r="M379" s="9"/>
      <c r="N379" s="9"/>
      <c r="O379" s="9"/>
      <c r="P379" s="9"/>
      <c r="Q379" s="9"/>
      <c r="R379" s="9"/>
      <c r="S379" s="9"/>
      <c r="T379" s="9"/>
      <c r="U379" s="9"/>
      <c r="V379" s="9"/>
      <c r="W379" s="9"/>
      <c r="X379" s="9"/>
      <c r="Y379" s="9"/>
      <c r="Z379" s="9"/>
    </row>
    <row r="380" ht="15.75" customHeight="1">
      <c r="A380" s="32"/>
      <c r="B380" s="9"/>
      <c r="C380" s="110"/>
      <c r="D380" s="134"/>
      <c r="E380" s="135"/>
      <c r="F380" s="9"/>
      <c r="G380" s="9"/>
      <c r="H380" s="9"/>
      <c r="I380" s="9"/>
      <c r="J380" s="9"/>
      <c r="K380" s="9"/>
      <c r="L380" s="9"/>
      <c r="M380" s="9"/>
      <c r="N380" s="9"/>
      <c r="O380" s="9"/>
      <c r="P380" s="9"/>
      <c r="Q380" s="9"/>
      <c r="R380" s="9"/>
      <c r="S380" s="9"/>
      <c r="T380" s="9"/>
      <c r="U380" s="9"/>
      <c r="V380" s="9"/>
      <c r="W380" s="9"/>
      <c r="X380" s="9"/>
      <c r="Y380" s="9"/>
      <c r="Z380" s="9"/>
    </row>
    <row r="381" ht="15.75" customHeight="1">
      <c r="A381" s="32"/>
      <c r="B381" s="9"/>
      <c r="C381" s="110"/>
      <c r="D381" s="134"/>
      <c r="E381" s="135"/>
      <c r="F381" s="9"/>
      <c r="G381" s="9"/>
      <c r="H381" s="9"/>
      <c r="I381" s="9"/>
      <c r="J381" s="9"/>
      <c r="K381" s="9"/>
      <c r="L381" s="9"/>
      <c r="M381" s="9"/>
      <c r="N381" s="9"/>
      <c r="O381" s="9"/>
      <c r="P381" s="9"/>
      <c r="Q381" s="9"/>
      <c r="R381" s="9"/>
      <c r="S381" s="9"/>
      <c r="T381" s="9"/>
      <c r="U381" s="9"/>
      <c r="V381" s="9"/>
      <c r="W381" s="9"/>
      <c r="X381" s="9"/>
      <c r="Y381" s="9"/>
      <c r="Z381" s="9"/>
    </row>
    <row r="382" ht="15.75" customHeight="1">
      <c r="A382" s="32"/>
      <c r="B382" s="9"/>
      <c r="C382" s="110"/>
      <c r="D382" s="134"/>
      <c r="E382" s="135"/>
      <c r="F382" s="9"/>
      <c r="G382" s="9"/>
      <c r="H382" s="9"/>
      <c r="I382" s="9"/>
      <c r="J382" s="9"/>
      <c r="K382" s="9"/>
      <c r="L382" s="9"/>
      <c r="M382" s="9"/>
      <c r="N382" s="9"/>
      <c r="O382" s="9"/>
      <c r="P382" s="9"/>
      <c r="Q382" s="9"/>
      <c r="R382" s="9"/>
      <c r="S382" s="9"/>
      <c r="T382" s="9"/>
      <c r="U382" s="9"/>
      <c r="V382" s="9"/>
      <c r="W382" s="9"/>
      <c r="X382" s="9"/>
      <c r="Y382" s="9"/>
      <c r="Z382" s="9"/>
    </row>
    <row r="383" ht="15.75" customHeight="1">
      <c r="A383" s="32"/>
      <c r="B383" s="9"/>
      <c r="C383" s="110"/>
      <c r="D383" s="134"/>
      <c r="E383" s="135"/>
      <c r="F383" s="9"/>
      <c r="G383" s="9"/>
      <c r="H383" s="9"/>
      <c r="I383" s="9"/>
      <c r="J383" s="9"/>
      <c r="K383" s="9"/>
      <c r="L383" s="9"/>
      <c r="M383" s="9"/>
      <c r="N383" s="9"/>
      <c r="O383" s="9"/>
      <c r="P383" s="9"/>
      <c r="Q383" s="9"/>
      <c r="R383" s="9"/>
      <c r="S383" s="9"/>
      <c r="T383" s="9"/>
      <c r="U383" s="9"/>
      <c r="V383" s="9"/>
      <c r="W383" s="9"/>
      <c r="X383" s="9"/>
      <c r="Y383" s="9"/>
      <c r="Z383" s="9"/>
    </row>
    <row r="384" ht="15.75" customHeight="1">
      <c r="A384" s="32"/>
      <c r="B384" s="9"/>
      <c r="C384" s="110"/>
      <c r="D384" s="134"/>
      <c r="E384" s="135"/>
      <c r="F384" s="9"/>
      <c r="G384" s="9"/>
      <c r="H384" s="9"/>
      <c r="I384" s="9"/>
      <c r="J384" s="9"/>
      <c r="K384" s="9"/>
      <c r="L384" s="9"/>
      <c r="M384" s="9"/>
      <c r="N384" s="9"/>
      <c r="O384" s="9"/>
      <c r="P384" s="9"/>
      <c r="Q384" s="9"/>
      <c r="R384" s="9"/>
      <c r="S384" s="9"/>
      <c r="T384" s="9"/>
      <c r="U384" s="9"/>
      <c r="V384" s="9"/>
      <c r="W384" s="9"/>
      <c r="X384" s="9"/>
      <c r="Y384" s="9"/>
      <c r="Z384" s="9"/>
    </row>
    <row r="385" ht="15.75" customHeight="1">
      <c r="A385" s="32"/>
      <c r="B385" s="9"/>
      <c r="C385" s="110"/>
      <c r="D385" s="134"/>
      <c r="E385" s="135"/>
      <c r="F385" s="9"/>
      <c r="G385" s="9"/>
      <c r="H385" s="9"/>
      <c r="I385" s="9"/>
      <c r="J385" s="9"/>
      <c r="K385" s="9"/>
      <c r="L385" s="9"/>
      <c r="M385" s="9"/>
      <c r="N385" s="9"/>
      <c r="O385" s="9"/>
      <c r="P385" s="9"/>
      <c r="Q385" s="9"/>
      <c r="R385" s="9"/>
      <c r="S385" s="9"/>
      <c r="T385" s="9"/>
      <c r="U385" s="9"/>
      <c r="V385" s="9"/>
      <c r="W385" s="9"/>
      <c r="X385" s="9"/>
      <c r="Y385" s="9"/>
      <c r="Z385" s="9"/>
    </row>
    <row r="386" ht="15.75" customHeight="1">
      <c r="A386" s="32"/>
      <c r="B386" s="9"/>
      <c r="C386" s="110"/>
      <c r="D386" s="134"/>
      <c r="E386" s="135"/>
      <c r="F386" s="9"/>
      <c r="G386" s="9"/>
      <c r="H386" s="9"/>
      <c r="I386" s="9"/>
      <c r="J386" s="9"/>
      <c r="K386" s="9"/>
      <c r="L386" s="9"/>
      <c r="M386" s="9"/>
      <c r="N386" s="9"/>
      <c r="O386" s="9"/>
      <c r="P386" s="9"/>
      <c r="Q386" s="9"/>
      <c r="R386" s="9"/>
      <c r="S386" s="9"/>
      <c r="T386" s="9"/>
      <c r="U386" s="9"/>
      <c r="V386" s="9"/>
      <c r="W386" s="9"/>
      <c r="X386" s="9"/>
      <c r="Y386" s="9"/>
      <c r="Z386" s="9"/>
    </row>
    <row r="387" ht="15.75" customHeight="1">
      <c r="A387" s="32"/>
      <c r="B387" s="9"/>
      <c r="C387" s="110"/>
      <c r="D387" s="134"/>
      <c r="E387" s="135"/>
      <c r="F387" s="9"/>
      <c r="G387" s="9"/>
      <c r="H387" s="9"/>
      <c r="I387" s="9"/>
      <c r="J387" s="9"/>
      <c r="K387" s="9"/>
      <c r="L387" s="9"/>
      <c r="M387" s="9"/>
      <c r="N387" s="9"/>
      <c r="O387" s="9"/>
      <c r="P387" s="9"/>
      <c r="Q387" s="9"/>
      <c r="R387" s="9"/>
      <c r="S387" s="9"/>
      <c r="T387" s="9"/>
      <c r="U387" s="9"/>
      <c r="V387" s="9"/>
      <c r="W387" s="9"/>
      <c r="X387" s="9"/>
      <c r="Y387" s="9"/>
      <c r="Z387" s="9"/>
    </row>
    <row r="388" ht="15.75" customHeight="1">
      <c r="A388" s="32"/>
      <c r="B388" s="9"/>
      <c r="C388" s="110"/>
      <c r="D388" s="134"/>
      <c r="E388" s="135"/>
      <c r="F388" s="9"/>
      <c r="G388" s="9"/>
      <c r="H388" s="9"/>
      <c r="I388" s="9"/>
      <c r="J388" s="9"/>
      <c r="K388" s="9"/>
      <c r="L388" s="9"/>
      <c r="M388" s="9"/>
      <c r="N388" s="9"/>
      <c r="O388" s="9"/>
      <c r="P388" s="9"/>
      <c r="Q388" s="9"/>
      <c r="R388" s="9"/>
      <c r="S388" s="9"/>
      <c r="T388" s="9"/>
      <c r="U388" s="9"/>
      <c r="V388" s="9"/>
      <c r="W388" s="9"/>
      <c r="X388" s="9"/>
      <c r="Y388" s="9"/>
      <c r="Z388" s="9"/>
    </row>
    <row r="389" ht="15.75" customHeight="1">
      <c r="A389" s="32"/>
      <c r="B389" s="9"/>
      <c r="C389" s="110"/>
      <c r="D389" s="134"/>
      <c r="E389" s="135"/>
      <c r="F389" s="9"/>
      <c r="G389" s="9"/>
      <c r="H389" s="9"/>
      <c r="I389" s="9"/>
      <c r="J389" s="9"/>
      <c r="K389" s="9"/>
      <c r="L389" s="9"/>
      <c r="M389" s="9"/>
      <c r="N389" s="9"/>
      <c r="O389" s="9"/>
      <c r="P389" s="9"/>
      <c r="Q389" s="9"/>
      <c r="R389" s="9"/>
      <c r="S389" s="9"/>
      <c r="T389" s="9"/>
      <c r="U389" s="9"/>
      <c r="V389" s="9"/>
      <c r="W389" s="9"/>
      <c r="X389" s="9"/>
      <c r="Y389" s="9"/>
      <c r="Z389" s="9"/>
    </row>
    <row r="390" ht="15.75" customHeight="1">
      <c r="A390" s="32"/>
      <c r="B390" s="9"/>
      <c r="C390" s="110"/>
      <c r="D390" s="134"/>
      <c r="E390" s="135"/>
      <c r="F390" s="9"/>
      <c r="G390" s="9"/>
      <c r="H390" s="9"/>
      <c r="I390" s="9"/>
      <c r="J390" s="9"/>
      <c r="K390" s="9"/>
      <c r="L390" s="9"/>
      <c r="M390" s="9"/>
      <c r="N390" s="9"/>
      <c r="O390" s="9"/>
      <c r="P390" s="9"/>
      <c r="Q390" s="9"/>
      <c r="R390" s="9"/>
      <c r="S390" s="9"/>
      <c r="T390" s="9"/>
      <c r="U390" s="9"/>
      <c r="V390" s="9"/>
      <c r="W390" s="9"/>
      <c r="X390" s="9"/>
      <c r="Y390" s="9"/>
      <c r="Z390" s="9"/>
    </row>
    <row r="391" ht="15.75" customHeight="1">
      <c r="A391" s="32"/>
      <c r="B391" s="9"/>
      <c r="C391" s="110"/>
      <c r="D391" s="134"/>
      <c r="E391" s="135"/>
      <c r="F391" s="9"/>
      <c r="G391" s="9"/>
      <c r="H391" s="9"/>
      <c r="I391" s="9"/>
      <c r="J391" s="9"/>
      <c r="K391" s="9"/>
      <c r="L391" s="9"/>
      <c r="M391" s="9"/>
      <c r="N391" s="9"/>
      <c r="O391" s="9"/>
      <c r="P391" s="9"/>
      <c r="Q391" s="9"/>
      <c r="R391" s="9"/>
      <c r="S391" s="9"/>
      <c r="T391" s="9"/>
      <c r="U391" s="9"/>
      <c r="V391" s="9"/>
      <c r="W391" s="9"/>
      <c r="X391" s="9"/>
      <c r="Y391" s="9"/>
      <c r="Z391" s="9"/>
    </row>
    <row r="392" ht="15.75" customHeight="1">
      <c r="A392" s="32"/>
      <c r="B392" s="9"/>
      <c r="C392" s="110"/>
      <c r="D392" s="134"/>
      <c r="E392" s="135"/>
      <c r="F392" s="9"/>
      <c r="G392" s="9"/>
      <c r="H392" s="9"/>
      <c r="I392" s="9"/>
      <c r="J392" s="9"/>
      <c r="K392" s="9"/>
      <c r="L392" s="9"/>
      <c r="M392" s="9"/>
      <c r="N392" s="9"/>
      <c r="O392" s="9"/>
      <c r="P392" s="9"/>
      <c r="Q392" s="9"/>
      <c r="R392" s="9"/>
      <c r="S392" s="9"/>
      <c r="T392" s="9"/>
      <c r="U392" s="9"/>
      <c r="V392" s="9"/>
      <c r="W392" s="9"/>
      <c r="X392" s="9"/>
      <c r="Y392" s="9"/>
      <c r="Z392" s="9"/>
    </row>
    <row r="393" ht="15.75" customHeight="1">
      <c r="A393" s="32"/>
      <c r="B393" s="9"/>
      <c r="C393" s="110"/>
      <c r="D393" s="134"/>
      <c r="E393" s="135"/>
      <c r="F393" s="9"/>
      <c r="G393" s="9"/>
      <c r="H393" s="9"/>
      <c r="I393" s="9"/>
      <c r="J393" s="9"/>
      <c r="K393" s="9"/>
      <c r="L393" s="9"/>
      <c r="M393" s="9"/>
      <c r="N393" s="9"/>
      <c r="O393" s="9"/>
      <c r="P393" s="9"/>
      <c r="Q393" s="9"/>
      <c r="R393" s="9"/>
      <c r="S393" s="9"/>
      <c r="T393" s="9"/>
      <c r="U393" s="9"/>
      <c r="V393" s="9"/>
      <c r="W393" s="9"/>
      <c r="X393" s="9"/>
      <c r="Y393" s="9"/>
      <c r="Z393" s="9"/>
    </row>
    <row r="394" ht="15.75" customHeight="1">
      <c r="A394" s="32"/>
      <c r="B394" s="9"/>
      <c r="C394" s="110"/>
      <c r="D394" s="134"/>
      <c r="E394" s="135"/>
      <c r="F394" s="9"/>
      <c r="G394" s="9"/>
      <c r="H394" s="9"/>
      <c r="I394" s="9"/>
      <c r="J394" s="9"/>
      <c r="K394" s="9"/>
      <c r="L394" s="9"/>
      <c r="M394" s="9"/>
      <c r="N394" s="9"/>
      <c r="O394" s="9"/>
      <c r="P394" s="9"/>
      <c r="Q394" s="9"/>
      <c r="R394" s="9"/>
      <c r="S394" s="9"/>
      <c r="T394" s="9"/>
      <c r="U394" s="9"/>
      <c r="V394" s="9"/>
      <c r="W394" s="9"/>
      <c r="X394" s="9"/>
      <c r="Y394" s="9"/>
      <c r="Z394" s="9"/>
    </row>
    <row r="395" ht="15.75" customHeight="1">
      <c r="A395" s="32"/>
      <c r="B395" s="9"/>
      <c r="C395" s="110"/>
      <c r="D395" s="134"/>
      <c r="E395" s="135"/>
      <c r="F395" s="9"/>
      <c r="G395" s="9"/>
      <c r="H395" s="9"/>
      <c r="I395" s="9"/>
      <c r="J395" s="9"/>
      <c r="K395" s="9"/>
      <c r="L395" s="9"/>
      <c r="M395" s="9"/>
      <c r="N395" s="9"/>
      <c r="O395" s="9"/>
      <c r="P395" s="9"/>
      <c r="Q395" s="9"/>
      <c r="R395" s="9"/>
      <c r="S395" s="9"/>
      <c r="T395" s="9"/>
      <c r="U395" s="9"/>
      <c r="V395" s="9"/>
      <c r="W395" s="9"/>
      <c r="X395" s="9"/>
      <c r="Y395" s="9"/>
      <c r="Z395" s="9"/>
    </row>
    <row r="396" ht="15.75" customHeight="1">
      <c r="A396" s="32"/>
      <c r="B396" s="9"/>
      <c r="C396" s="110"/>
      <c r="D396" s="134"/>
      <c r="E396" s="135"/>
      <c r="F396" s="9"/>
      <c r="G396" s="9"/>
      <c r="H396" s="9"/>
      <c r="I396" s="9"/>
      <c r="J396" s="9"/>
      <c r="K396" s="9"/>
      <c r="L396" s="9"/>
      <c r="M396" s="9"/>
      <c r="N396" s="9"/>
      <c r="O396" s="9"/>
      <c r="P396" s="9"/>
      <c r="Q396" s="9"/>
      <c r="R396" s="9"/>
      <c r="S396" s="9"/>
      <c r="T396" s="9"/>
      <c r="U396" s="9"/>
      <c r="V396" s="9"/>
      <c r="W396" s="9"/>
      <c r="X396" s="9"/>
      <c r="Y396" s="9"/>
      <c r="Z396" s="9"/>
    </row>
    <row r="397" ht="15.75" customHeight="1">
      <c r="A397" s="32"/>
      <c r="B397" s="9"/>
      <c r="C397" s="110"/>
      <c r="D397" s="134"/>
      <c r="E397" s="135"/>
      <c r="F397" s="9"/>
      <c r="G397" s="9"/>
      <c r="H397" s="9"/>
      <c r="I397" s="9"/>
      <c r="J397" s="9"/>
      <c r="K397" s="9"/>
      <c r="L397" s="9"/>
      <c r="M397" s="9"/>
      <c r="N397" s="9"/>
      <c r="O397" s="9"/>
      <c r="P397" s="9"/>
      <c r="Q397" s="9"/>
      <c r="R397" s="9"/>
      <c r="S397" s="9"/>
      <c r="T397" s="9"/>
      <c r="U397" s="9"/>
      <c r="V397" s="9"/>
      <c r="W397" s="9"/>
      <c r="X397" s="9"/>
      <c r="Y397" s="9"/>
      <c r="Z397" s="9"/>
    </row>
    <row r="398" ht="15.75" customHeight="1">
      <c r="A398" s="32"/>
      <c r="B398" s="9"/>
      <c r="C398" s="110"/>
      <c r="D398" s="134"/>
      <c r="E398" s="135"/>
      <c r="F398" s="9"/>
      <c r="G398" s="9"/>
      <c r="H398" s="9"/>
      <c r="I398" s="9"/>
      <c r="J398" s="9"/>
      <c r="K398" s="9"/>
      <c r="L398" s="9"/>
      <c r="M398" s="9"/>
      <c r="N398" s="9"/>
      <c r="O398" s="9"/>
      <c r="P398" s="9"/>
      <c r="Q398" s="9"/>
      <c r="R398" s="9"/>
      <c r="S398" s="9"/>
      <c r="T398" s="9"/>
      <c r="U398" s="9"/>
      <c r="V398" s="9"/>
      <c r="W398" s="9"/>
      <c r="X398" s="9"/>
      <c r="Y398" s="9"/>
      <c r="Z398" s="9"/>
    </row>
    <row r="399" ht="15.75" customHeight="1">
      <c r="A399" s="32"/>
      <c r="B399" s="9"/>
      <c r="C399" s="110"/>
      <c r="D399" s="134"/>
      <c r="E399" s="135"/>
      <c r="F399" s="9"/>
      <c r="G399" s="9"/>
      <c r="H399" s="9"/>
      <c r="I399" s="9"/>
      <c r="J399" s="9"/>
      <c r="K399" s="9"/>
      <c r="L399" s="9"/>
      <c r="M399" s="9"/>
      <c r="N399" s="9"/>
      <c r="O399" s="9"/>
      <c r="P399" s="9"/>
      <c r="Q399" s="9"/>
      <c r="R399" s="9"/>
      <c r="S399" s="9"/>
      <c r="T399" s="9"/>
      <c r="U399" s="9"/>
      <c r="V399" s="9"/>
      <c r="W399" s="9"/>
      <c r="X399" s="9"/>
      <c r="Y399" s="9"/>
      <c r="Z399" s="9"/>
    </row>
    <row r="400" ht="15.75" customHeight="1">
      <c r="A400" s="32"/>
      <c r="B400" s="9"/>
      <c r="C400" s="110"/>
      <c r="D400" s="134"/>
      <c r="E400" s="135"/>
      <c r="F400" s="9"/>
      <c r="G400" s="9"/>
      <c r="H400" s="9"/>
      <c r="I400" s="9"/>
      <c r="J400" s="9"/>
      <c r="K400" s="9"/>
      <c r="L400" s="9"/>
      <c r="M400" s="9"/>
      <c r="N400" s="9"/>
      <c r="O400" s="9"/>
      <c r="P400" s="9"/>
      <c r="Q400" s="9"/>
      <c r="R400" s="9"/>
      <c r="S400" s="9"/>
      <c r="T400" s="9"/>
      <c r="U400" s="9"/>
      <c r="V400" s="9"/>
      <c r="W400" s="9"/>
      <c r="X400" s="9"/>
      <c r="Y400" s="9"/>
      <c r="Z400" s="9"/>
    </row>
    <row r="401" ht="15.75" customHeight="1">
      <c r="A401" s="32"/>
      <c r="B401" s="9"/>
      <c r="C401" s="110"/>
      <c r="D401" s="134"/>
      <c r="E401" s="135"/>
      <c r="F401" s="9"/>
      <c r="G401" s="9"/>
      <c r="H401" s="9"/>
      <c r="I401" s="9"/>
      <c r="J401" s="9"/>
      <c r="K401" s="9"/>
      <c r="L401" s="9"/>
      <c r="M401" s="9"/>
      <c r="N401" s="9"/>
      <c r="O401" s="9"/>
      <c r="P401" s="9"/>
      <c r="Q401" s="9"/>
      <c r="R401" s="9"/>
      <c r="S401" s="9"/>
      <c r="T401" s="9"/>
      <c r="U401" s="9"/>
      <c r="V401" s="9"/>
      <c r="W401" s="9"/>
      <c r="X401" s="9"/>
      <c r="Y401" s="9"/>
      <c r="Z401" s="9"/>
    </row>
    <row r="402" ht="15.75" customHeight="1">
      <c r="A402" s="32"/>
      <c r="B402" s="9"/>
      <c r="C402" s="110"/>
      <c r="D402" s="134"/>
      <c r="E402" s="135"/>
      <c r="F402" s="9"/>
      <c r="G402" s="9"/>
      <c r="H402" s="9"/>
      <c r="I402" s="9"/>
      <c r="J402" s="9"/>
      <c r="K402" s="9"/>
      <c r="L402" s="9"/>
      <c r="M402" s="9"/>
      <c r="N402" s="9"/>
      <c r="O402" s="9"/>
      <c r="P402" s="9"/>
      <c r="Q402" s="9"/>
      <c r="R402" s="9"/>
      <c r="S402" s="9"/>
      <c r="T402" s="9"/>
      <c r="U402" s="9"/>
      <c r="V402" s="9"/>
      <c r="W402" s="9"/>
      <c r="X402" s="9"/>
      <c r="Y402" s="9"/>
      <c r="Z402" s="9"/>
    </row>
    <row r="403" ht="15.75" customHeight="1">
      <c r="A403" s="32"/>
      <c r="B403" s="9"/>
      <c r="C403" s="110"/>
      <c r="D403" s="134"/>
      <c r="E403" s="135"/>
      <c r="F403" s="9"/>
      <c r="G403" s="9"/>
      <c r="H403" s="9"/>
      <c r="I403" s="9"/>
      <c r="J403" s="9"/>
      <c r="K403" s="9"/>
      <c r="L403" s="9"/>
      <c r="M403" s="9"/>
      <c r="N403" s="9"/>
      <c r="O403" s="9"/>
      <c r="P403" s="9"/>
      <c r="Q403" s="9"/>
      <c r="R403" s="9"/>
      <c r="S403" s="9"/>
      <c r="T403" s="9"/>
      <c r="U403" s="9"/>
      <c r="V403" s="9"/>
      <c r="W403" s="9"/>
      <c r="X403" s="9"/>
      <c r="Y403" s="9"/>
      <c r="Z403" s="9"/>
    </row>
    <row r="404" ht="15.75" customHeight="1">
      <c r="A404" s="32"/>
      <c r="B404" s="9"/>
      <c r="C404" s="110"/>
      <c r="D404" s="134"/>
      <c r="E404" s="135"/>
      <c r="F404" s="9"/>
      <c r="G404" s="9"/>
      <c r="H404" s="9"/>
      <c r="I404" s="9"/>
      <c r="J404" s="9"/>
      <c r="K404" s="9"/>
      <c r="L404" s="9"/>
      <c r="M404" s="9"/>
      <c r="N404" s="9"/>
      <c r="O404" s="9"/>
      <c r="P404" s="9"/>
      <c r="Q404" s="9"/>
      <c r="R404" s="9"/>
      <c r="S404" s="9"/>
      <c r="T404" s="9"/>
      <c r="U404" s="9"/>
      <c r="V404" s="9"/>
      <c r="W404" s="9"/>
      <c r="X404" s="9"/>
      <c r="Y404" s="9"/>
      <c r="Z404" s="9"/>
    </row>
    <row r="405" ht="15.75" customHeight="1">
      <c r="A405" s="32"/>
      <c r="B405" s="9"/>
      <c r="C405" s="110"/>
      <c r="D405" s="134"/>
      <c r="E405" s="135"/>
      <c r="F405" s="9"/>
      <c r="G405" s="9"/>
      <c r="H405" s="9"/>
      <c r="I405" s="9"/>
      <c r="J405" s="9"/>
      <c r="K405" s="9"/>
      <c r="L405" s="9"/>
      <c r="M405" s="9"/>
      <c r="N405" s="9"/>
      <c r="O405" s="9"/>
      <c r="P405" s="9"/>
      <c r="Q405" s="9"/>
      <c r="R405" s="9"/>
      <c r="S405" s="9"/>
      <c r="T405" s="9"/>
      <c r="U405" s="9"/>
      <c r="V405" s="9"/>
      <c r="W405" s="9"/>
      <c r="X405" s="9"/>
      <c r="Y405" s="9"/>
      <c r="Z405" s="9"/>
    </row>
    <row r="406" ht="15.75" customHeight="1">
      <c r="A406" s="32"/>
      <c r="B406" s="9"/>
      <c r="C406" s="110"/>
      <c r="D406" s="134"/>
      <c r="E406" s="135"/>
      <c r="F406" s="9"/>
      <c r="G406" s="9"/>
      <c r="H406" s="9"/>
      <c r="I406" s="9"/>
      <c r="J406" s="9"/>
      <c r="K406" s="9"/>
      <c r="L406" s="9"/>
      <c r="M406" s="9"/>
      <c r="N406" s="9"/>
      <c r="O406" s="9"/>
      <c r="P406" s="9"/>
      <c r="Q406" s="9"/>
      <c r="R406" s="9"/>
      <c r="S406" s="9"/>
      <c r="T406" s="9"/>
      <c r="U406" s="9"/>
      <c r="V406" s="9"/>
      <c r="W406" s="9"/>
      <c r="X406" s="9"/>
      <c r="Y406" s="9"/>
      <c r="Z406" s="9"/>
    </row>
    <row r="407" ht="15.75" customHeight="1">
      <c r="A407" s="32"/>
      <c r="B407" s="9"/>
      <c r="C407" s="110"/>
      <c r="D407" s="134"/>
      <c r="E407" s="135"/>
      <c r="F407" s="9"/>
      <c r="G407" s="9"/>
      <c r="H407" s="9"/>
      <c r="I407" s="9"/>
      <c r="J407" s="9"/>
      <c r="K407" s="9"/>
      <c r="L407" s="9"/>
      <c r="M407" s="9"/>
      <c r="N407" s="9"/>
      <c r="O407" s="9"/>
      <c r="P407" s="9"/>
      <c r="Q407" s="9"/>
      <c r="R407" s="9"/>
      <c r="S407" s="9"/>
      <c r="T407" s="9"/>
      <c r="U407" s="9"/>
      <c r="V407" s="9"/>
      <c r="W407" s="9"/>
      <c r="X407" s="9"/>
      <c r="Y407" s="9"/>
      <c r="Z407" s="9"/>
    </row>
    <row r="408" ht="15.75" customHeight="1">
      <c r="A408" s="32"/>
      <c r="B408" s="9"/>
      <c r="C408" s="110"/>
      <c r="D408" s="134"/>
      <c r="E408" s="135"/>
      <c r="F408" s="9"/>
      <c r="G408" s="9"/>
      <c r="H408" s="9"/>
      <c r="I408" s="9"/>
      <c r="J408" s="9"/>
      <c r="K408" s="9"/>
      <c r="L408" s="9"/>
      <c r="M408" s="9"/>
      <c r="N408" s="9"/>
      <c r="O408" s="9"/>
      <c r="P408" s="9"/>
      <c r="Q408" s="9"/>
      <c r="R408" s="9"/>
      <c r="S408" s="9"/>
      <c r="T408" s="9"/>
      <c r="U408" s="9"/>
      <c r="V408" s="9"/>
      <c r="W408" s="9"/>
      <c r="X408" s="9"/>
      <c r="Y408" s="9"/>
      <c r="Z408" s="9"/>
    </row>
    <row r="409" ht="15.75" customHeight="1">
      <c r="A409" s="32"/>
      <c r="B409" s="9"/>
      <c r="C409" s="110"/>
      <c r="D409" s="134"/>
      <c r="E409" s="135"/>
      <c r="F409" s="9"/>
      <c r="G409" s="9"/>
      <c r="H409" s="9"/>
      <c r="I409" s="9"/>
      <c r="J409" s="9"/>
      <c r="K409" s="9"/>
      <c r="L409" s="9"/>
      <c r="M409" s="9"/>
      <c r="N409" s="9"/>
      <c r="O409" s="9"/>
      <c r="P409" s="9"/>
      <c r="Q409" s="9"/>
      <c r="R409" s="9"/>
      <c r="S409" s="9"/>
      <c r="T409" s="9"/>
      <c r="U409" s="9"/>
      <c r="V409" s="9"/>
      <c r="W409" s="9"/>
      <c r="X409" s="9"/>
      <c r="Y409" s="9"/>
      <c r="Z409" s="9"/>
    </row>
    <row r="410" ht="15.75" customHeight="1">
      <c r="A410" s="32"/>
      <c r="B410" s="9"/>
      <c r="C410" s="110"/>
      <c r="D410" s="134"/>
      <c r="E410" s="135"/>
      <c r="F410" s="9"/>
      <c r="G410" s="9"/>
      <c r="H410" s="9"/>
      <c r="I410" s="9"/>
      <c r="J410" s="9"/>
      <c r="K410" s="9"/>
      <c r="L410" s="9"/>
      <c r="M410" s="9"/>
      <c r="N410" s="9"/>
      <c r="O410" s="9"/>
      <c r="P410" s="9"/>
      <c r="Q410" s="9"/>
      <c r="R410" s="9"/>
      <c r="S410" s="9"/>
      <c r="T410" s="9"/>
      <c r="U410" s="9"/>
      <c r="V410" s="9"/>
      <c r="W410" s="9"/>
      <c r="X410" s="9"/>
      <c r="Y410" s="9"/>
      <c r="Z410" s="9"/>
    </row>
    <row r="411" ht="15.75" customHeight="1">
      <c r="A411" s="32"/>
      <c r="B411" s="9"/>
      <c r="C411" s="110"/>
      <c r="D411" s="134"/>
      <c r="E411" s="135"/>
      <c r="F411" s="9"/>
      <c r="G411" s="9"/>
      <c r="H411" s="9"/>
      <c r="I411" s="9"/>
      <c r="J411" s="9"/>
      <c r="K411" s="9"/>
      <c r="L411" s="9"/>
      <c r="M411" s="9"/>
      <c r="N411" s="9"/>
      <c r="O411" s="9"/>
      <c r="P411" s="9"/>
      <c r="Q411" s="9"/>
      <c r="R411" s="9"/>
      <c r="S411" s="9"/>
      <c r="T411" s="9"/>
      <c r="U411" s="9"/>
      <c r="V411" s="9"/>
      <c r="W411" s="9"/>
      <c r="X411" s="9"/>
      <c r="Y411" s="9"/>
      <c r="Z411" s="9"/>
    </row>
    <row r="412" ht="15.75" customHeight="1">
      <c r="A412" s="32"/>
      <c r="B412" s="9"/>
      <c r="C412" s="110"/>
      <c r="D412" s="134"/>
      <c r="E412" s="135"/>
      <c r="F412" s="9"/>
      <c r="G412" s="9"/>
      <c r="H412" s="9"/>
      <c r="I412" s="9"/>
      <c r="J412" s="9"/>
      <c r="K412" s="9"/>
      <c r="L412" s="9"/>
      <c r="M412" s="9"/>
      <c r="N412" s="9"/>
      <c r="O412" s="9"/>
      <c r="P412" s="9"/>
      <c r="Q412" s="9"/>
      <c r="R412" s="9"/>
      <c r="S412" s="9"/>
      <c r="T412" s="9"/>
      <c r="U412" s="9"/>
      <c r="V412" s="9"/>
      <c r="W412" s="9"/>
      <c r="X412" s="9"/>
      <c r="Y412" s="9"/>
      <c r="Z412" s="9"/>
    </row>
    <row r="413" ht="15.75" customHeight="1">
      <c r="A413" s="32"/>
      <c r="B413" s="9"/>
      <c r="C413" s="110"/>
      <c r="D413" s="134"/>
      <c r="E413" s="135"/>
      <c r="F413" s="9"/>
      <c r="G413" s="9"/>
      <c r="H413" s="9"/>
      <c r="I413" s="9"/>
      <c r="J413" s="9"/>
      <c r="K413" s="9"/>
      <c r="L413" s="9"/>
      <c r="M413" s="9"/>
      <c r="N413" s="9"/>
      <c r="O413" s="9"/>
      <c r="P413" s="9"/>
      <c r="Q413" s="9"/>
      <c r="R413" s="9"/>
      <c r="S413" s="9"/>
      <c r="T413" s="9"/>
      <c r="U413" s="9"/>
      <c r="V413" s="9"/>
      <c r="W413" s="9"/>
      <c r="X413" s="9"/>
      <c r="Y413" s="9"/>
      <c r="Z413" s="9"/>
    </row>
    <row r="414" ht="15.75" customHeight="1">
      <c r="A414" s="32"/>
      <c r="B414" s="9"/>
      <c r="C414" s="110"/>
      <c r="D414" s="134"/>
      <c r="E414" s="135"/>
      <c r="F414" s="9"/>
      <c r="G414" s="9"/>
      <c r="H414" s="9"/>
      <c r="I414" s="9"/>
      <c r="J414" s="9"/>
      <c r="K414" s="9"/>
      <c r="L414" s="9"/>
      <c r="M414" s="9"/>
      <c r="N414" s="9"/>
      <c r="O414" s="9"/>
      <c r="P414" s="9"/>
      <c r="Q414" s="9"/>
      <c r="R414" s="9"/>
      <c r="S414" s="9"/>
      <c r="T414" s="9"/>
      <c r="U414" s="9"/>
      <c r="V414" s="9"/>
      <c r="W414" s="9"/>
      <c r="X414" s="9"/>
      <c r="Y414" s="9"/>
      <c r="Z414" s="9"/>
    </row>
    <row r="415" ht="15.75" customHeight="1">
      <c r="A415" s="32"/>
      <c r="B415" s="9"/>
      <c r="C415" s="110"/>
      <c r="D415" s="134"/>
      <c r="E415" s="135"/>
      <c r="F415" s="9"/>
      <c r="G415" s="9"/>
      <c r="H415" s="9"/>
      <c r="I415" s="9"/>
      <c r="J415" s="9"/>
      <c r="K415" s="9"/>
      <c r="L415" s="9"/>
      <c r="M415" s="9"/>
      <c r="N415" s="9"/>
      <c r="O415" s="9"/>
      <c r="P415" s="9"/>
      <c r="Q415" s="9"/>
      <c r="R415" s="9"/>
      <c r="S415" s="9"/>
      <c r="T415" s="9"/>
      <c r="U415" s="9"/>
      <c r="V415" s="9"/>
      <c r="W415" s="9"/>
      <c r="X415" s="9"/>
      <c r="Y415" s="9"/>
      <c r="Z415" s="9"/>
    </row>
    <row r="416" ht="15.75" customHeight="1">
      <c r="A416" s="32"/>
      <c r="B416" s="9"/>
      <c r="C416" s="110"/>
      <c r="D416" s="134"/>
      <c r="E416" s="135"/>
      <c r="F416" s="9"/>
      <c r="G416" s="9"/>
      <c r="H416" s="9"/>
      <c r="I416" s="9"/>
      <c r="J416" s="9"/>
      <c r="K416" s="9"/>
      <c r="L416" s="9"/>
      <c r="M416" s="9"/>
      <c r="N416" s="9"/>
      <c r="O416" s="9"/>
      <c r="P416" s="9"/>
      <c r="Q416" s="9"/>
      <c r="R416" s="9"/>
      <c r="S416" s="9"/>
      <c r="T416" s="9"/>
      <c r="U416" s="9"/>
      <c r="V416" s="9"/>
      <c r="W416" s="9"/>
      <c r="X416" s="9"/>
      <c r="Y416" s="9"/>
      <c r="Z416" s="9"/>
    </row>
    <row r="417" ht="15.75" customHeight="1">
      <c r="A417" s="32"/>
      <c r="B417" s="9"/>
      <c r="C417" s="110"/>
      <c r="D417" s="134"/>
      <c r="E417" s="135"/>
      <c r="F417" s="9"/>
      <c r="G417" s="9"/>
      <c r="H417" s="9"/>
      <c r="I417" s="9"/>
      <c r="J417" s="9"/>
      <c r="K417" s="9"/>
      <c r="L417" s="9"/>
      <c r="M417" s="9"/>
      <c r="N417" s="9"/>
      <c r="O417" s="9"/>
      <c r="P417" s="9"/>
      <c r="Q417" s="9"/>
      <c r="R417" s="9"/>
      <c r="S417" s="9"/>
      <c r="T417" s="9"/>
      <c r="U417" s="9"/>
      <c r="V417" s="9"/>
      <c r="W417" s="9"/>
      <c r="X417" s="9"/>
      <c r="Y417" s="9"/>
      <c r="Z417" s="9"/>
    </row>
    <row r="418" ht="15.75" customHeight="1">
      <c r="A418" s="32"/>
      <c r="B418" s="9"/>
      <c r="C418" s="110"/>
      <c r="D418" s="134"/>
      <c r="E418" s="135"/>
      <c r="F418" s="9"/>
      <c r="G418" s="9"/>
      <c r="H418" s="9"/>
      <c r="I418" s="9"/>
      <c r="J418" s="9"/>
      <c r="K418" s="9"/>
      <c r="L418" s="9"/>
      <c r="M418" s="9"/>
      <c r="N418" s="9"/>
      <c r="O418" s="9"/>
      <c r="P418" s="9"/>
      <c r="Q418" s="9"/>
      <c r="R418" s="9"/>
      <c r="S418" s="9"/>
      <c r="T418" s="9"/>
      <c r="U418" s="9"/>
      <c r="V418" s="9"/>
      <c r="W418" s="9"/>
      <c r="X418" s="9"/>
      <c r="Y418" s="9"/>
      <c r="Z418" s="9"/>
    </row>
    <row r="419" ht="15.75" customHeight="1">
      <c r="A419" s="32"/>
      <c r="B419" s="9"/>
      <c r="C419" s="110"/>
      <c r="D419" s="134"/>
      <c r="E419" s="135"/>
      <c r="F419" s="9"/>
      <c r="G419" s="9"/>
      <c r="H419" s="9"/>
      <c r="I419" s="9"/>
      <c r="J419" s="9"/>
      <c r="K419" s="9"/>
      <c r="L419" s="9"/>
      <c r="M419" s="9"/>
      <c r="N419" s="9"/>
      <c r="O419" s="9"/>
      <c r="P419" s="9"/>
      <c r="Q419" s="9"/>
      <c r="R419" s="9"/>
      <c r="S419" s="9"/>
      <c r="T419" s="9"/>
      <c r="U419" s="9"/>
      <c r="V419" s="9"/>
      <c r="W419" s="9"/>
      <c r="X419" s="9"/>
      <c r="Y419" s="9"/>
      <c r="Z419" s="9"/>
    </row>
    <row r="420" ht="15.75" customHeight="1">
      <c r="A420" s="32"/>
      <c r="B420" s="9"/>
      <c r="C420" s="110"/>
      <c r="D420" s="134"/>
      <c r="E420" s="135"/>
      <c r="F420" s="9"/>
      <c r="G420" s="9"/>
      <c r="H420" s="9"/>
      <c r="I420" s="9"/>
      <c r="J420" s="9"/>
      <c r="K420" s="9"/>
      <c r="L420" s="9"/>
      <c r="M420" s="9"/>
      <c r="N420" s="9"/>
      <c r="O420" s="9"/>
      <c r="P420" s="9"/>
      <c r="Q420" s="9"/>
      <c r="R420" s="9"/>
      <c r="S420" s="9"/>
      <c r="T420" s="9"/>
      <c r="U420" s="9"/>
      <c r="V420" s="9"/>
      <c r="W420" s="9"/>
      <c r="X420" s="9"/>
      <c r="Y420" s="9"/>
      <c r="Z420" s="9"/>
    </row>
    <row r="421" ht="15.75" customHeight="1">
      <c r="A421" s="32"/>
      <c r="B421" s="9"/>
      <c r="C421" s="110"/>
      <c r="D421" s="134"/>
      <c r="E421" s="135"/>
      <c r="F421" s="9"/>
      <c r="G421" s="9"/>
      <c r="H421" s="9"/>
      <c r="I421" s="9"/>
      <c r="J421" s="9"/>
      <c r="K421" s="9"/>
      <c r="L421" s="9"/>
      <c r="M421" s="9"/>
      <c r="N421" s="9"/>
      <c r="O421" s="9"/>
      <c r="P421" s="9"/>
      <c r="Q421" s="9"/>
      <c r="R421" s="9"/>
      <c r="S421" s="9"/>
      <c r="T421" s="9"/>
      <c r="U421" s="9"/>
      <c r="V421" s="9"/>
      <c r="W421" s="9"/>
      <c r="X421" s="9"/>
      <c r="Y421" s="9"/>
      <c r="Z421" s="9"/>
    </row>
    <row r="422" ht="15.75" customHeight="1">
      <c r="A422" s="32"/>
      <c r="B422" s="9"/>
      <c r="C422" s="110"/>
      <c r="D422" s="134"/>
      <c r="E422" s="135"/>
      <c r="F422" s="9"/>
      <c r="G422" s="9"/>
      <c r="H422" s="9"/>
      <c r="I422" s="9"/>
      <c r="J422" s="9"/>
      <c r="K422" s="9"/>
      <c r="L422" s="9"/>
      <c r="M422" s="9"/>
      <c r="N422" s="9"/>
      <c r="O422" s="9"/>
      <c r="P422" s="9"/>
      <c r="Q422" s="9"/>
      <c r="R422" s="9"/>
      <c r="S422" s="9"/>
      <c r="T422" s="9"/>
      <c r="U422" s="9"/>
      <c r="V422" s="9"/>
      <c r="W422" s="9"/>
      <c r="X422" s="9"/>
      <c r="Y422" s="9"/>
      <c r="Z422" s="9"/>
    </row>
    <row r="423" ht="15.75" customHeight="1">
      <c r="A423" s="32"/>
      <c r="B423" s="9"/>
      <c r="C423" s="110"/>
      <c r="D423" s="134"/>
      <c r="E423" s="135"/>
      <c r="F423" s="9"/>
      <c r="G423" s="9"/>
      <c r="H423" s="9"/>
      <c r="I423" s="9"/>
      <c r="J423" s="9"/>
      <c r="K423" s="9"/>
      <c r="L423" s="9"/>
      <c r="M423" s="9"/>
      <c r="N423" s="9"/>
      <c r="O423" s="9"/>
      <c r="P423" s="9"/>
      <c r="Q423" s="9"/>
      <c r="R423" s="9"/>
      <c r="S423" s="9"/>
      <c r="T423" s="9"/>
      <c r="U423" s="9"/>
      <c r="V423" s="9"/>
      <c r="W423" s="9"/>
      <c r="X423" s="9"/>
      <c r="Y423" s="9"/>
      <c r="Z423" s="9"/>
    </row>
    <row r="424" ht="15.75" customHeight="1">
      <c r="A424" s="32"/>
      <c r="B424" s="9"/>
      <c r="C424" s="110"/>
      <c r="D424" s="134"/>
      <c r="E424" s="135"/>
      <c r="F424" s="9"/>
      <c r="G424" s="9"/>
      <c r="H424" s="9"/>
      <c r="I424" s="9"/>
      <c r="J424" s="9"/>
      <c r="K424" s="9"/>
      <c r="L424" s="9"/>
      <c r="M424" s="9"/>
      <c r="N424" s="9"/>
      <c r="O424" s="9"/>
      <c r="P424" s="9"/>
      <c r="Q424" s="9"/>
      <c r="R424" s="9"/>
      <c r="S424" s="9"/>
      <c r="T424" s="9"/>
      <c r="U424" s="9"/>
      <c r="V424" s="9"/>
      <c r="W424" s="9"/>
      <c r="X424" s="9"/>
      <c r="Y424" s="9"/>
      <c r="Z424" s="9"/>
    </row>
    <row r="425" ht="15.75" customHeight="1">
      <c r="A425" s="32"/>
      <c r="B425" s="9"/>
      <c r="C425" s="110"/>
      <c r="D425" s="134"/>
      <c r="E425" s="135"/>
      <c r="F425" s="9"/>
      <c r="G425" s="9"/>
      <c r="H425" s="9"/>
      <c r="I425" s="9"/>
      <c r="J425" s="9"/>
      <c r="K425" s="9"/>
      <c r="L425" s="9"/>
      <c r="M425" s="9"/>
      <c r="N425" s="9"/>
      <c r="O425" s="9"/>
      <c r="P425" s="9"/>
      <c r="Q425" s="9"/>
      <c r="R425" s="9"/>
      <c r="S425" s="9"/>
      <c r="T425" s="9"/>
      <c r="U425" s="9"/>
      <c r="V425" s="9"/>
      <c r="W425" s="9"/>
      <c r="X425" s="9"/>
      <c r="Y425" s="9"/>
      <c r="Z425" s="9"/>
    </row>
    <row r="426" ht="15.75" customHeight="1">
      <c r="A426" s="32"/>
      <c r="B426" s="9"/>
      <c r="C426" s="110"/>
      <c r="D426" s="134"/>
      <c r="E426" s="135"/>
      <c r="F426" s="9"/>
      <c r="G426" s="9"/>
      <c r="H426" s="9"/>
      <c r="I426" s="9"/>
      <c r="J426" s="9"/>
      <c r="K426" s="9"/>
      <c r="L426" s="9"/>
      <c r="M426" s="9"/>
      <c r="N426" s="9"/>
      <c r="O426" s="9"/>
      <c r="P426" s="9"/>
      <c r="Q426" s="9"/>
      <c r="R426" s="9"/>
      <c r="S426" s="9"/>
      <c r="T426" s="9"/>
      <c r="U426" s="9"/>
      <c r="V426" s="9"/>
      <c r="W426" s="9"/>
      <c r="X426" s="9"/>
      <c r="Y426" s="9"/>
      <c r="Z426" s="9"/>
    </row>
    <row r="427" ht="15.75" customHeight="1">
      <c r="A427" s="32"/>
      <c r="B427" s="9"/>
      <c r="C427" s="110"/>
      <c r="D427" s="134"/>
      <c r="E427" s="135"/>
      <c r="F427" s="9"/>
      <c r="G427" s="9"/>
      <c r="H427" s="9"/>
      <c r="I427" s="9"/>
      <c r="J427" s="9"/>
      <c r="K427" s="9"/>
      <c r="L427" s="9"/>
      <c r="M427" s="9"/>
      <c r="N427" s="9"/>
      <c r="O427" s="9"/>
      <c r="P427" s="9"/>
      <c r="Q427" s="9"/>
      <c r="R427" s="9"/>
      <c r="S427" s="9"/>
      <c r="T427" s="9"/>
      <c r="U427" s="9"/>
      <c r="V427" s="9"/>
      <c r="W427" s="9"/>
      <c r="X427" s="9"/>
      <c r="Y427" s="9"/>
      <c r="Z427" s="9"/>
    </row>
    <row r="428" ht="15.75" customHeight="1">
      <c r="A428" s="32"/>
      <c r="B428" s="9"/>
      <c r="C428" s="110"/>
      <c r="D428" s="134"/>
      <c r="E428" s="135"/>
      <c r="F428" s="9"/>
      <c r="G428" s="9"/>
      <c r="H428" s="9"/>
      <c r="I428" s="9"/>
      <c r="J428" s="9"/>
      <c r="K428" s="9"/>
      <c r="L428" s="9"/>
      <c r="M428" s="9"/>
      <c r="N428" s="9"/>
      <c r="O428" s="9"/>
      <c r="P428" s="9"/>
      <c r="Q428" s="9"/>
      <c r="R428" s="9"/>
      <c r="S428" s="9"/>
      <c r="T428" s="9"/>
      <c r="U428" s="9"/>
      <c r="V428" s="9"/>
      <c r="W428" s="9"/>
      <c r="X428" s="9"/>
      <c r="Y428" s="9"/>
      <c r="Z428" s="9"/>
    </row>
    <row r="429" ht="15.75" customHeight="1">
      <c r="A429" s="32"/>
      <c r="B429" s="9"/>
      <c r="C429" s="110"/>
      <c r="D429" s="134"/>
      <c r="E429" s="135"/>
      <c r="F429" s="9"/>
      <c r="G429" s="9"/>
      <c r="H429" s="9"/>
      <c r="I429" s="9"/>
      <c r="J429" s="9"/>
      <c r="K429" s="9"/>
      <c r="L429" s="9"/>
      <c r="M429" s="9"/>
      <c r="N429" s="9"/>
      <c r="O429" s="9"/>
      <c r="P429" s="9"/>
      <c r="Q429" s="9"/>
      <c r="R429" s="9"/>
      <c r="S429" s="9"/>
      <c r="T429" s="9"/>
      <c r="U429" s="9"/>
      <c r="V429" s="9"/>
      <c r="W429" s="9"/>
      <c r="X429" s="9"/>
      <c r="Y429" s="9"/>
      <c r="Z429" s="9"/>
    </row>
    <row r="430" ht="15.75" customHeight="1">
      <c r="A430" s="32"/>
      <c r="B430" s="9"/>
      <c r="C430" s="110"/>
      <c r="D430" s="134"/>
      <c r="E430" s="135"/>
      <c r="F430" s="9"/>
      <c r="G430" s="9"/>
      <c r="H430" s="9"/>
      <c r="I430" s="9"/>
      <c r="J430" s="9"/>
      <c r="K430" s="9"/>
      <c r="L430" s="9"/>
      <c r="M430" s="9"/>
      <c r="N430" s="9"/>
      <c r="O430" s="9"/>
      <c r="P430" s="9"/>
      <c r="Q430" s="9"/>
      <c r="R430" s="9"/>
      <c r="S430" s="9"/>
      <c r="T430" s="9"/>
      <c r="U430" s="9"/>
      <c r="V430" s="9"/>
      <c r="W430" s="9"/>
      <c r="X430" s="9"/>
      <c r="Y430" s="9"/>
      <c r="Z430" s="9"/>
    </row>
    <row r="431" ht="15.75" customHeight="1">
      <c r="A431" s="32"/>
      <c r="B431" s="9"/>
      <c r="C431" s="110"/>
      <c r="D431" s="134"/>
      <c r="E431" s="135"/>
      <c r="F431" s="9"/>
      <c r="G431" s="9"/>
      <c r="H431" s="9"/>
      <c r="I431" s="9"/>
      <c r="J431" s="9"/>
      <c r="K431" s="9"/>
      <c r="L431" s="9"/>
      <c r="M431" s="9"/>
      <c r="N431" s="9"/>
      <c r="O431" s="9"/>
      <c r="P431" s="9"/>
      <c r="Q431" s="9"/>
      <c r="R431" s="9"/>
      <c r="S431" s="9"/>
      <c r="T431" s="9"/>
      <c r="U431" s="9"/>
      <c r="V431" s="9"/>
      <c r="W431" s="9"/>
      <c r="X431" s="9"/>
      <c r="Y431" s="9"/>
      <c r="Z431" s="9"/>
    </row>
    <row r="432" ht="15.75" customHeight="1">
      <c r="A432" s="32"/>
      <c r="B432" s="9"/>
      <c r="C432" s="110"/>
      <c r="D432" s="134"/>
      <c r="E432" s="135"/>
      <c r="F432" s="9"/>
      <c r="G432" s="9"/>
      <c r="H432" s="9"/>
      <c r="I432" s="9"/>
      <c r="J432" s="9"/>
      <c r="K432" s="9"/>
      <c r="L432" s="9"/>
      <c r="M432" s="9"/>
      <c r="N432" s="9"/>
      <c r="O432" s="9"/>
      <c r="P432" s="9"/>
      <c r="Q432" s="9"/>
      <c r="R432" s="9"/>
      <c r="S432" s="9"/>
      <c r="T432" s="9"/>
      <c r="U432" s="9"/>
      <c r="V432" s="9"/>
      <c r="W432" s="9"/>
      <c r="X432" s="9"/>
      <c r="Y432" s="9"/>
      <c r="Z432" s="9"/>
    </row>
    <row r="433" ht="15.75" customHeight="1">
      <c r="A433" s="32"/>
      <c r="B433" s="9"/>
      <c r="C433" s="110"/>
      <c r="D433" s="134"/>
      <c r="E433" s="135"/>
      <c r="F433" s="9"/>
      <c r="G433" s="9"/>
      <c r="H433" s="9"/>
      <c r="I433" s="9"/>
      <c r="J433" s="9"/>
      <c r="K433" s="9"/>
      <c r="L433" s="9"/>
      <c r="M433" s="9"/>
      <c r="N433" s="9"/>
      <c r="O433" s="9"/>
      <c r="P433" s="9"/>
      <c r="Q433" s="9"/>
      <c r="R433" s="9"/>
      <c r="S433" s="9"/>
      <c r="T433" s="9"/>
      <c r="U433" s="9"/>
      <c r="V433" s="9"/>
      <c r="W433" s="9"/>
      <c r="X433" s="9"/>
      <c r="Y433" s="9"/>
      <c r="Z433" s="9"/>
    </row>
    <row r="434" ht="15.75" customHeight="1">
      <c r="A434" s="32"/>
      <c r="B434" s="9"/>
      <c r="C434" s="110"/>
      <c r="D434" s="134"/>
      <c r="E434" s="135"/>
      <c r="F434" s="9"/>
      <c r="G434" s="9"/>
      <c r="H434" s="9"/>
      <c r="I434" s="9"/>
      <c r="J434" s="9"/>
      <c r="K434" s="9"/>
      <c r="L434" s="9"/>
      <c r="M434" s="9"/>
      <c r="N434" s="9"/>
      <c r="O434" s="9"/>
      <c r="P434" s="9"/>
      <c r="Q434" s="9"/>
      <c r="R434" s="9"/>
      <c r="S434" s="9"/>
      <c r="T434" s="9"/>
      <c r="U434" s="9"/>
      <c r="V434" s="9"/>
      <c r="W434" s="9"/>
      <c r="X434" s="9"/>
      <c r="Y434" s="9"/>
      <c r="Z434" s="9"/>
    </row>
    <row r="435" ht="15.75" customHeight="1">
      <c r="A435" s="32"/>
      <c r="B435" s="9"/>
      <c r="C435" s="110"/>
      <c r="D435" s="134"/>
      <c r="E435" s="135"/>
      <c r="F435" s="9"/>
      <c r="G435" s="9"/>
      <c r="H435" s="9"/>
      <c r="I435" s="9"/>
      <c r="J435" s="9"/>
      <c r="K435" s="9"/>
      <c r="L435" s="9"/>
      <c r="M435" s="9"/>
      <c r="N435" s="9"/>
      <c r="O435" s="9"/>
      <c r="P435" s="9"/>
      <c r="Q435" s="9"/>
      <c r="R435" s="9"/>
      <c r="S435" s="9"/>
      <c r="T435" s="9"/>
      <c r="U435" s="9"/>
      <c r="V435" s="9"/>
      <c r="W435" s="9"/>
      <c r="X435" s="9"/>
      <c r="Y435" s="9"/>
      <c r="Z435" s="9"/>
    </row>
    <row r="436" ht="15.75" customHeight="1">
      <c r="A436" s="32"/>
      <c r="B436" s="9"/>
      <c r="C436" s="110"/>
      <c r="D436" s="134"/>
      <c r="E436" s="135"/>
      <c r="F436" s="9"/>
      <c r="G436" s="9"/>
      <c r="H436" s="9"/>
      <c r="I436" s="9"/>
      <c r="J436" s="9"/>
      <c r="K436" s="9"/>
      <c r="L436" s="9"/>
      <c r="M436" s="9"/>
      <c r="N436" s="9"/>
      <c r="O436" s="9"/>
      <c r="P436" s="9"/>
      <c r="Q436" s="9"/>
      <c r="R436" s="9"/>
      <c r="S436" s="9"/>
      <c r="T436" s="9"/>
      <c r="U436" s="9"/>
      <c r="V436" s="9"/>
      <c r="W436" s="9"/>
      <c r="X436" s="9"/>
      <c r="Y436" s="9"/>
      <c r="Z436" s="9"/>
    </row>
    <row r="437" ht="15.75" customHeight="1">
      <c r="A437" s="32"/>
      <c r="B437" s="9"/>
      <c r="C437" s="110"/>
      <c r="D437" s="134"/>
      <c r="E437" s="135"/>
      <c r="F437" s="9"/>
      <c r="G437" s="9"/>
      <c r="H437" s="9"/>
      <c r="I437" s="9"/>
      <c r="J437" s="9"/>
      <c r="K437" s="9"/>
      <c r="L437" s="9"/>
      <c r="M437" s="9"/>
      <c r="N437" s="9"/>
      <c r="O437" s="9"/>
      <c r="P437" s="9"/>
      <c r="Q437" s="9"/>
      <c r="R437" s="9"/>
      <c r="S437" s="9"/>
      <c r="T437" s="9"/>
      <c r="U437" s="9"/>
      <c r="V437" s="9"/>
      <c r="W437" s="9"/>
      <c r="X437" s="9"/>
      <c r="Y437" s="9"/>
      <c r="Z437" s="9"/>
    </row>
    <row r="438" ht="15.75" customHeight="1">
      <c r="A438" s="32"/>
      <c r="B438" s="9"/>
      <c r="C438" s="110"/>
      <c r="D438" s="134"/>
      <c r="E438" s="135"/>
      <c r="F438" s="9"/>
      <c r="G438" s="9"/>
      <c r="H438" s="9"/>
      <c r="I438" s="9"/>
      <c r="J438" s="9"/>
      <c r="K438" s="9"/>
      <c r="L438" s="9"/>
      <c r="M438" s="9"/>
      <c r="N438" s="9"/>
      <c r="O438" s="9"/>
      <c r="P438" s="9"/>
      <c r="Q438" s="9"/>
      <c r="R438" s="9"/>
      <c r="S438" s="9"/>
      <c r="T438" s="9"/>
      <c r="U438" s="9"/>
      <c r="V438" s="9"/>
      <c r="W438" s="9"/>
      <c r="X438" s="9"/>
      <c r="Y438" s="9"/>
      <c r="Z438" s="9"/>
    </row>
    <row r="439" ht="15.75" customHeight="1">
      <c r="A439" s="32"/>
      <c r="B439" s="9"/>
      <c r="C439" s="110"/>
      <c r="D439" s="134"/>
      <c r="E439" s="135"/>
      <c r="F439" s="9"/>
      <c r="G439" s="9"/>
      <c r="H439" s="9"/>
      <c r="I439" s="9"/>
      <c r="J439" s="9"/>
      <c r="K439" s="9"/>
      <c r="L439" s="9"/>
      <c r="M439" s="9"/>
      <c r="N439" s="9"/>
      <c r="O439" s="9"/>
      <c r="P439" s="9"/>
      <c r="Q439" s="9"/>
      <c r="R439" s="9"/>
      <c r="S439" s="9"/>
      <c r="T439" s="9"/>
      <c r="U439" s="9"/>
      <c r="V439" s="9"/>
      <c r="W439" s="9"/>
      <c r="X439" s="9"/>
      <c r="Y439" s="9"/>
      <c r="Z439" s="9"/>
    </row>
    <row r="440" ht="15.75" customHeight="1">
      <c r="A440" s="32"/>
      <c r="B440" s="9"/>
      <c r="C440" s="110"/>
      <c r="D440" s="134"/>
      <c r="E440" s="135"/>
      <c r="F440" s="9"/>
      <c r="G440" s="9"/>
      <c r="H440" s="9"/>
      <c r="I440" s="9"/>
      <c r="J440" s="9"/>
      <c r="K440" s="9"/>
      <c r="L440" s="9"/>
      <c r="M440" s="9"/>
      <c r="N440" s="9"/>
      <c r="O440" s="9"/>
      <c r="P440" s="9"/>
      <c r="Q440" s="9"/>
      <c r="R440" s="9"/>
      <c r="S440" s="9"/>
      <c r="T440" s="9"/>
      <c r="U440" s="9"/>
      <c r="V440" s="9"/>
      <c r="W440" s="9"/>
      <c r="X440" s="9"/>
      <c r="Y440" s="9"/>
      <c r="Z440" s="9"/>
    </row>
    <row r="441" ht="15.75" customHeight="1">
      <c r="A441" s="32"/>
      <c r="B441" s="9"/>
      <c r="C441" s="110"/>
      <c r="D441" s="134"/>
      <c r="E441" s="135"/>
      <c r="F441" s="9"/>
      <c r="G441" s="9"/>
      <c r="H441" s="9"/>
      <c r="I441" s="9"/>
      <c r="J441" s="9"/>
      <c r="K441" s="9"/>
      <c r="L441" s="9"/>
      <c r="M441" s="9"/>
      <c r="N441" s="9"/>
      <c r="O441" s="9"/>
      <c r="P441" s="9"/>
      <c r="Q441" s="9"/>
      <c r="R441" s="9"/>
      <c r="S441" s="9"/>
      <c r="T441" s="9"/>
      <c r="U441" s="9"/>
      <c r="V441" s="9"/>
      <c r="W441" s="9"/>
      <c r="X441" s="9"/>
      <c r="Y441" s="9"/>
      <c r="Z441" s="9"/>
    </row>
    <row r="442" ht="15.75" customHeight="1">
      <c r="A442" s="32"/>
      <c r="B442" s="9"/>
      <c r="C442" s="110"/>
      <c r="D442" s="134"/>
      <c r="E442" s="135"/>
      <c r="F442" s="9"/>
      <c r="G442" s="9"/>
      <c r="H442" s="9"/>
      <c r="I442" s="9"/>
      <c r="J442" s="9"/>
      <c r="K442" s="9"/>
      <c r="L442" s="9"/>
      <c r="M442" s="9"/>
      <c r="N442" s="9"/>
      <c r="O442" s="9"/>
      <c r="P442" s="9"/>
      <c r="Q442" s="9"/>
      <c r="R442" s="9"/>
      <c r="S442" s="9"/>
      <c r="T442" s="9"/>
      <c r="U442" s="9"/>
      <c r="V442" s="9"/>
      <c r="W442" s="9"/>
      <c r="X442" s="9"/>
      <c r="Y442" s="9"/>
      <c r="Z442" s="9"/>
    </row>
    <row r="443" ht="15.75" customHeight="1">
      <c r="A443" s="32"/>
      <c r="B443" s="9"/>
      <c r="C443" s="110"/>
      <c r="D443" s="134"/>
      <c r="E443" s="135"/>
      <c r="F443" s="9"/>
      <c r="G443" s="9"/>
      <c r="H443" s="9"/>
      <c r="I443" s="9"/>
      <c r="J443" s="9"/>
      <c r="K443" s="9"/>
      <c r="L443" s="9"/>
      <c r="M443" s="9"/>
      <c r="N443" s="9"/>
      <c r="O443" s="9"/>
      <c r="P443" s="9"/>
      <c r="Q443" s="9"/>
      <c r="R443" s="9"/>
      <c r="S443" s="9"/>
      <c r="T443" s="9"/>
      <c r="U443" s="9"/>
      <c r="V443" s="9"/>
      <c r="W443" s="9"/>
      <c r="X443" s="9"/>
      <c r="Y443" s="9"/>
      <c r="Z443" s="9"/>
    </row>
    <row r="444" ht="15.75" customHeight="1">
      <c r="A444" s="32"/>
      <c r="B444" s="9"/>
      <c r="C444" s="110"/>
      <c r="D444" s="134"/>
      <c r="E444" s="135"/>
      <c r="F444" s="9"/>
      <c r="G444" s="9"/>
      <c r="H444" s="9"/>
      <c r="I444" s="9"/>
      <c r="J444" s="9"/>
      <c r="K444" s="9"/>
      <c r="L444" s="9"/>
      <c r="M444" s="9"/>
      <c r="N444" s="9"/>
      <c r="O444" s="9"/>
      <c r="P444" s="9"/>
      <c r="Q444" s="9"/>
      <c r="R444" s="9"/>
      <c r="S444" s="9"/>
      <c r="T444" s="9"/>
      <c r="U444" s="9"/>
      <c r="V444" s="9"/>
      <c r="W444" s="9"/>
      <c r="X444" s="9"/>
      <c r="Y444" s="9"/>
      <c r="Z444" s="9"/>
    </row>
    <row r="445" ht="15.75" customHeight="1">
      <c r="A445" s="32"/>
      <c r="B445" s="9"/>
      <c r="C445" s="110"/>
      <c r="D445" s="134"/>
      <c r="E445" s="135"/>
      <c r="F445" s="9"/>
      <c r="G445" s="9"/>
      <c r="H445" s="9"/>
      <c r="I445" s="9"/>
      <c r="J445" s="9"/>
      <c r="K445" s="9"/>
      <c r="L445" s="9"/>
      <c r="M445" s="9"/>
      <c r="N445" s="9"/>
      <c r="O445" s="9"/>
      <c r="P445" s="9"/>
      <c r="Q445" s="9"/>
      <c r="R445" s="9"/>
      <c r="S445" s="9"/>
      <c r="T445" s="9"/>
      <c r="U445" s="9"/>
      <c r="V445" s="9"/>
      <c r="W445" s="9"/>
      <c r="X445" s="9"/>
      <c r="Y445" s="9"/>
      <c r="Z445" s="9"/>
    </row>
    <row r="446" ht="15.75" customHeight="1">
      <c r="A446" s="32"/>
      <c r="B446" s="9"/>
      <c r="C446" s="110"/>
      <c r="D446" s="134"/>
      <c r="E446" s="135"/>
      <c r="F446" s="9"/>
      <c r="G446" s="9"/>
      <c r="H446" s="9"/>
      <c r="I446" s="9"/>
      <c r="J446" s="9"/>
      <c r="K446" s="9"/>
      <c r="L446" s="9"/>
      <c r="M446" s="9"/>
      <c r="N446" s="9"/>
      <c r="O446" s="9"/>
      <c r="P446" s="9"/>
      <c r="Q446" s="9"/>
      <c r="R446" s="9"/>
      <c r="S446" s="9"/>
      <c r="T446" s="9"/>
      <c r="U446" s="9"/>
      <c r="V446" s="9"/>
      <c r="W446" s="9"/>
      <c r="X446" s="9"/>
      <c r="Y446" s="9"/>
      <c r="Z446" s="9"/>
    </row>
    <row r="447" ht="15.75" customHeight="1">
      <c r="A447" s="32"/>
      <c r="B447" s="9"/>
      <c r="C447" s="110"/>
      <c r="D447" s="134"/>
      <c r="E447" s="135"/>
      <c r="F447" s="9"/>
      <c r="G447" s="9"/>
      <c r="H447" s="9"/>
      <c r="I447" s="9"/>
      <c r="J447" s="9"/>
      <c r="K447" s="9"/>
      <c r="L447" s="9"/>
      <c r="M447" s="9"/>
      <c r="N447" s="9"/>
      <c r="O447" s="9"/>
      <c r="P447" s="9"/>
      <c r="Q447" s="9"/>
      <c r="R447" s="9"/>
      <c r="S447" s="9"/>
      <c r="T447" s="9"/>
      <c r="U447" s="9"/>
      <c r="V447" s="9"/>
      <c r="W447" s="9"/>
      <c r="X447" s="9"/>
      <c r="Y447" s="9"/>
      <c r="Z447" s="9"/>
    </row>
    <row r="448" ht="15.75" customHeight="1">
      <c r="A448" s="32"/>
      <c r="B448" s="9"/>
      <c r="C448" s="110"/>
      <c r="D448" s="134"/>
      <c r="E448" s="135"/>
      <c r="F448" s="9"/>
      <c r="G448" s="9"/>
      <c r="H448" s="9"/>
      <c r="I448" s="9"/>
      <c r="J448" s="9"/>
      <c r="K448" s="9"/>
      <c r="L448" s="9"/>
      <c r="M448" s="9"/>
      <c r="N448" s="9"/>
      <c r="O448" s="9"/>
      <c r="P448" s="9"/>
      <c r="Q448" s="9"/>
      <c r="R448" s="9"/>
      <c r="S448" s="9"/>
      <c r="T448" s="9"/>
      <c r="U448" s="9"/>
      <c r="V448" s="9"/>
      <c r="W448" s="9"/>
      <c r="X448" s="9"/>
      <c r="Y448" s="9"/>
      <c r="Z448" s="9"/>
    </row>
    <row r="449" ht="15.75" customHeight="1">
      <c r="A449" s="32"/>
      <c r="B449" s="9"/>
      <c r="C449" s="110"/>
      <c r="D449" s="134"/>
      <c r="E449" s="135"/>
      <c r="F449" s="9"/>
      <c r="G449" s="9"/>
      <c r="H449" s="9"/>
      <c r="I449" s="9"/>
      <c r="J449" s="9"/>
      <c r="K449" s="9"/>
      <c r="L449" s="9"/>
      <c r="M449" s="9"/>
      <c r="N449" s="9"/>
      <c r="O449" s="9"/>
      <c r="P449" s="9"/>
      <c r="Q449" s="9"/>
      <c r="R449" s="9"/>
      <c r="S449" s="9"/>
      <c r="T449" s="9"/>
      <c r="U449" s="9"/>
      <c r="V449" s="9"/>
      <c r="W449" s="9"/>
      <c r="X449" s="9"/>
      <c r="Y449" s="9"/>
      <c r="Z449" s="9"/>
    </row>
    <row r="450" ht="15.75" customHeight="1">
      <c r="A450" s="32"/>
      <c r="B450" s="9"/>
      <c r="C450" s="110"/>
      <c r="D450" s="134"/>
      <c r="E450" s="135"/>
      <c r="F450" s="9"/>
      <c r="G450" s="9"/>
      <c r="H450" s="9"/>
      <c r="I450" s="9"/>
      <c r="J450" s="9"/>
      <c r="K450" s="9"/>
      <c r="L450" s="9"/>
      <c r="M450" s="9"/>
      <c r="N450" s="9"/>
      <c r="O450" s="9"/>
      <c r="P450" s="9"/>
      <c r="Q450" s="9"/>
      <c r="R450" s="9"/>
      <c r="S450" s="9"/>
      <c r="T450" s="9"/>
      <c r="U450" s="9"/>
      <c r="V450" s="9"/>
      <c r="W450" s="9"/>
      <c r="X450" s="9"/>
      <c r="Y450" s="9"/>
      <c r="Z450" s="9"/>
    </row>
    <row r="451" ht="15.75" customHeight="1">
      <c r="A451" s="32"/>
      <c r="B451" s="9"/>
      <c r="C451" s="110"/>
      <c r="D451" s="134"/>
      <c r="E451" s="135"/>
      <c r="F451" s="9"/>
      <c r="G451" s="9"/>
      <c r="H451" s="9"/>
      <c r="I451" s="9"/>
      <c r="J451" s="9"/>
      <c r="K451" s="9"/>
      <c r="L451" s="9"/>
      <c r="M451" s="9"/>
      <c r="N451" s="9"/>
      <c r="O451" s="9"/>
      <c r="P451" s="9"/>
      <c r="Q451" s="9"/>
      <c r="R451" s="9"/>
      <c r="S451" s="9"/>
      <c r="T451" s="9"/>
      <c r="U451" s="9"/>
      <c r="V451" s="9"/>
      <c r="W451" s="9"/>
      <c r="X451" s="9"/>
      <c r="Y451" s="9"/>
      <c r="Z451" s="9"/>
    </row>
    <row r="452" ht="15.75" customHeight="1">
      <c r="A452" s="32"/>
      <c r="B452" s="9"/>
      <c r="C452" s="110"/>
      <c r="D452" s="134"/>
      <c r="E452" s="135"/>
      <c r="F452" s="9"/>
      <c r="G452" s="9"/>
      <c r="H452" s="9"/>
      <c r="I452" s="9"/>
      <c r="J452" s="9"/>
      <c r="K452" s="9"/>
      <c r="L452" s="9"/>
      <c r="M452" s="9"/>
      <c r="N452" s="9"/>
      <c r="O452" s="9"/>
      <c r="P452" s="9"/>
      <c r="Q452" s="9"/>
      <c r="R452" s="9"/>
      <c r="S452" s="9"/>
      <c r="T452" s="9"/>
      <c r="U452" s="9"/>
      <c r="V452" s="9"/>
      <c r="W452" s="9"/>
      <c r="X452" s="9"/>
      <c r="Y452" s="9"/>
      <c r="Z452" s="9"/>
    </row>
    <row r="453" ht="15.75" customHeight="1">
      <c r="A453" s="32"/>
      <c r="B453" s="9"/>
      <c r="C453" s="110"/>
      <c r="D453" s="134"/>
      <c r="E453" s="135"/>
      <c r="F453" s="9"/>
      <c r="G453" s="9"/>
      <c r="H453" s="9"/>
      <c r="I453" s="9"/>
      <c r="J453" s="9"/>
      <c r="K453" s="9"/>
      <c r="L453" s="9"/>
      <c r="M453" s="9"/>
      <c r="N453" s="9"/>
      <c r="O453" s="9"/>
      <c r="P453" s="9"/>
      <c r="Q453" s="9"/>
      <c r="R453" s="9"/>
      <c r="S453" s="9"/>
      <c r="T453" s="9"/>
      <c r="U453" s="9"/>
      <c r="V453" s="9"/>
      <c r="W453" s="9"/>
      <c r="X453" s="9"/>
      <c r="Y453" s="9"/>
      <c r="Z453" s="9"/>
    </row>
    <row r="454" ht="15.75" customHeight="1">
      <c r="A454" s="32"/>
      <c r="B454" s="9"/>
      <c r="C454" s="110"/>
      <c r="D454" s="134"/>
      <c r="E454" s="135"/>
      <c r="F454" s="9"/>
      <c r="G454" s="9"/>
      <c r="H454" s="9"/>
      <c r="I454" s="9"/>
      <c r="J454" s="9"/>
      <c r="K454" s="9"/>
      <c r="L454" s="9"/>
      <c r="M454" s="9"/>
      <c r="N454" s="9"/>
      <c r="O454" s="9"/>
      <c r="P454" s="9"/>
      <c r="Q454" s="9"/>
      <c r="R454" s="9"/>
      <c r="S454" s="9"/>
      <c r="T454" s="9"/>
      <c r="U454" s="9"/>
      <c r="V454" s="9"/>
      <c r="W454" s="9"/>
      <c r="X454" s="9"/>
      <c r="Y454" s="9"/>
      <c r="Z454" s="9"/>
    </row>
    <row r="455" ht="15.75" customHeight="1">
      <c r="A455" s="32"/>
      <c r="B455" s="9"/>
      <c r="C455" s="110"/>
      <c r="D455" s="134"/>
      <c r="E455" s="135"/>
      <c r="F455" s="9"/>
      <c r="G455" s="9"/>
      <c r="H455" s="9"/>
      <c r="I455" s="9"/>
      <c r="J455" s="9"/>
      <c r="K455" s="9"/>
      <c r="L455" s="9"/>
      <c r="M455" s="9"/>
      <c r="N455" s="9"/>
      <c r="O455" s="9"/>
      <c r="P455" s="9"/>
      <c r="Q455" s="9"/>
      <c r="R455" s="9"/>
      <c r="S455" s="9"/>
      <c r="T455" s="9"/>
      <c r="U455" s="9"/>
      <c r="V455" s="9"/>
      <c r="W455" s="9"/>
      <c r="X455" s="9"/>
      <c r="Y455" s="9"/>
      <c r="Z455" s="9"/>
    </row>
    <row r="456" ht="15.75" customHeight="1">
      <c r="A456" s="32"/>
      <c r="B456" s="9"/>
      <c r="C456" s="110"/>
      <c r="D456" s="134"/>
      <c r="E456" s="135"/>
      <c r="F456" s="9"/>
      <c r="G456" s="9"/>
      <c r="H456" s="9"/>
      <c r="I456" s="9"/>
      <c r="J456" s="9"/>
      <c r="K456" s="9"/>
      <c r="L456" s="9"/>
      <c r="M456" s="9"/>
      <c r="N456" s="9"/>
      <c r="O456" s="9"/>
      <c r="P456" s="9"/>
      <c r="Q456" s="9"/>
      <c r="R456" s="9"/>
      <c r="S456" s="9"/>
      <c r="T456" s="9"/>
      <c r="U456" s="9"/>
      <c r="V456" s="9"/>
      <c r="W456" s="9"/>
      <c r="X456" s="9"/>
      <c r="Y456" s="9"/>
      <c r="Z456" s="9"/>
    </row>
    <row r="457" ht="15.75" customHeight="1">
      <c r="A457" s="32"/>
      <c r="B457" s="9"/>
      <c r="C457" s="110"/>
      <c r="D457" s="134"/>
      <c r="E457" s="135"/>
      <c r="F457" s="9"/>
      <c r="G457" s="9"/>
      <c r="H457" s="9"/>
      <c r="I457" s="9"/>
      <c r="J457" s="9"/>
      <c r="K457" s="9"/>
      <c r="L457" s="9"/>
      <c r="M457" s="9"/>
      <c r="N457" s="9"/>
      <c r="O457" s="9"/>
      <c r="P457" s="9"/>
      <c r="Q457" s="9"/>
      <c r="R457" s="9"/>
      <c r="S457" s="9"/>
      <c r="T457" s="9"/>
      <c r="U457" s="9"/>
      <c r="V457" s="9"/>
      <c r="W457" s="9"/>
      <c r="X457" s="9"/>
      <c r="Y457" s="9"/>
      <c r="Z457" s="9"/>
    </row>
    <row r="458" ht="15.75" customHeight="1">
      <c r="A458" s="32"/>
      <c r="B458" s="9"/>
      <c r="C458" s="110"/>
      <c r="D458" s="134"/>
      <c r="E458" s="135"/>
      <c r="F458" s="9"/>
      <c r="G458" s="9"/>
      <c r="H458" s="9"/>
      <c r="I458" s="9"/>
      <c r="J458" s="9"/>
      <c r="K458" s="9"/>
      <c r="L458" s="9"/>
      <c r="M458" s="9"/>
      <c r="N458" s="9"/>
      <c r="O458" s="9"/>
      <c r="P458" s="9"/>
      <c r="Q458" s="9"/>
      <c r="R458" s="9"/>
      <c r="S458" s="9"/>
      <c r="T458" s="9"/>
      <c r="U458" s="9"/>
      <c r="V458" s="9"/>
      <c r="W458" s="9"/>
      <c r="X458" s="9"/>
      <c r="Y458" s="9"/>
      <c r="Z458" s="9"/>
    </row>
    <row r="459" ht="15.75" customHeight="1">
      <c r="A459" s="32"/>
      <c r="B459" s="9"/>
      <c r="C459" s="110"/>
      <c r="D459" s="134"/>
      <c r="E459" s="135"/>
      <c r="F459" s="9"/>
      <c r="G459" s="9"/>
      <c r="H459" s="9"/>
      <c r="I459" s="9"/>
      <c r="J459" s="9"/>
      <c r="K459" s="9"/>
      <c r="L459" s="9"/>
      <c r="M459" s="9"/>
      <c r="N459" s="9"/>
      <c r="O459" s="9"/>
      <c r="P459" s="9"/>
      <c r="Q459" s="9"/>
      <c r="R459" s="9"/>
      <c r="S459" s="9"/>
      <c r="T459" s="9"/>
      <c r="U459" s="9"/>
      <c r="V459" s="9"/>
      <c r="W459" s="9"/>
      <c r="X459" s="9"/>
      <c r="Y459" s="9"/>
      <c r="Z459" s="9"/>
    </row>
    <row r="460" ht="15.75" customHeight="1">
      <c r="A460" s="32"/>
      <c r="B460" s="9"/>
      <c r="C460" s="110"/>
      <c r="D460" s="134"/>
      <c r="E460" s="135"/>
      <c r="F460" s="9"/>
      <c r="G460" s="9"/>
      <c r="H460" s="9"/>
      <c r="I460" s="9"/>
      <c r="J460" s="9"/>
      <c r="K460" s="9"/>
      <c r="L460" s="9"/>
      <c r="M460" s="9"/>
      <c r="N460" s="9"/>
      <c r="O460" s="9"/>
      <c r="P460" s="9"/>
      <c r="Q460" s="9"/>
      <c r="R460" s="9"/>
      <c r="S460" s="9"/>
      <c r="T460" s="9"/>
      <c r="U460" s="9"/>
      <c r="V460" s="9"/>
      <c r="W460" s="9"/>
      <c r="X460" s="9"/>
      <c r="Y460" s="9"/>
      <c r="Z460" s="9"/>
    </row>
    <row r="461" ht="15.75" customHeight="1">
      <c r="A461" s="32"/>
      <c r="B461" s="9"/>
      <c r="C461" s="110"/>
      <c r="D461" s="134"/>
      <c r="E461" s="135"/>
      <c r="F461" s="9"/>
      <c r="G461" s="9"/>
      <c r="H461" s="9"/>
      <c r="I461" s="9"/>
      <c r="J461" s="9"/>
      <c r="K461" s="9"/>
      <c r="L461" s="9"/>
      <c r="M461" s="9"/>
      <c r="N461" s="9"/>
      <c r="O461" s="9"/>
      <c r="P461" s="9"/>
      <c r="Q461" s="9"/>
      <c r="R461" s="9"/>
      <c r="S461" s="9"/>
      <c r="T461" s="9"/>
      <c r="U461" s="9"/>
      <c r="V461" s="9"/>
      <c r="W461" s="9"/>
      <c r="X461" s="9"/>
      <c r="Y461" s="9"/>
      <c r="Z461" s="9"/>
    </row>
    <row r="462" ht="15.75" customHeight="1">
      <c r="A462" s="32"/>
      <c r="B462" s="9"/>
      <c r="C462" s="110"/>
      <c r="D462" s="134"/>
      <c r="E462" s="135"/>
      <c r="F462" s="9"/>
      <c r="G462" s="9"/>
      <c r="H462" s="9"/>
      <c r="I462" s="9"/>
      <c r="J462" s="9"/>
      <c r="K462" s="9"/>
      <c r="L462" s="9"/>
      <c r="M462" s="9"/>
      <c r="N462" s="9"/>
      <c r="O462" s="9"/>
      <c r="P462" s="9"/>
      <c r="Q462" s="9"/>
      <c r="R462" s="9"/>
      <c r="S462" s="9"/>
      <c r="T462" s="9"/>
      <c r="U462" s="9"/>
      <c r="V462" s="9"/>
      <c r="W462" s="9"/>
      <c r="X462" s="9"/>
      <c r="Y462" s="9"/>
      <c r="Z462" s="9"/>
    </row>
    <row r="463" ht="15.75" customHeight="1">
      <c r="A463" s="32"/>
      <c r="B463" s="9"/>
      <c r="C463" s="110"/>
      <c r="D463" s="134"/>
      <c r="E463" s="135"/>
      <c r="F463" s="9"/>
      <c r="G463" s="9"/>
      <c r="H463" s="9"/>
      <c r="I463" s="9"/>
      <c r="J463" s="9"/>
      <c r="K463" s="9"/>
      <c r="L463" s="9"/>
      <c r="M463" s="9"/>
      <c r="N463" s="9"/>
      <c r="O463" s="9"/>
      <c r="P463" s="9"/>
      <c r="Q463" s="9"/>
      <c r="R463" s="9"/>
      <c r="S463" s="9"/>
      <c r="T463" s="9"/>
      <c r="U463" s="9"/>
      <c r="V463" s="9"/>
      <c r="W463" s="9"/>
      <c r="X463" s="9"/>
      <c r="Y463" s="9"/>
      <c r="Z463" s="9"/>
    </row>
    <row r="464" ht="15.75" customHeight="1">
      <c r="A464" s="32"/>
      <c r="B464" s="9"/>
      <c r="C464" s="110"/>
      <c r="D464" s="134"/>
      <c r="E464" s="135"/>
      <c r="F464" s="9"/>
      <c r="G464" s="9"/>
      <c r="H464" s="9"/>
      <c r="I464" s="9"/>
      <c r="J464" s="9"/>
      <c r="K464" s="9"/>
      <c r="L464" s="9"/>
      <c r="M464" s="9"/>
      <c r="N464" s="9"/>
      <c r="O464" s="9"/>
      <c r="P464" s="9"/>
      <c r="Q464" s="9"/>
      <c r="R464" s="9"/>
      <c r="S464" s="9"/>
      <c r="T464" s="9"/>
      <c r="U464" s="9"/>
      <c r="V464" s="9"/>
      <c r="W464" s="9"/>
      <c r="X464" s="9"/>
      <c r="Y464" s="9"/>
      <c r="Z464" s="9"/>
    </row>
    <row r="465" ht="15.75" customHeight="1">
      <c r="A465" s="32"/>
      <c r="B465" s="9"/>
      <c r="C465" s="110"/>
      <c r="D465" s="134"/>
      <c r="E465" s="135"/>
      <c r="F465" s="9"/>
      <c r="G465" s="9"/>
      <c r="H465" s="9"/>
      <c r="I465" s="9"/>
      <c r="J465" s="9"/>
      <c r="K465" s="9"/>
      <c r="L465" s="9"/>
      <c r="M465" s="9"/>
      <c r="N465" s="9"/>
      <c r="O465" s="9"/>
      <c r="P465" s="9"/>
      <c r="Q465" s="9"/>
      <c r="R465" s="9"/>
      <c r="S465" s="9"/>
      <c r="T465" s="9"/>
      <c r="U465" s="9"/>
      <c r="V465" s="9"/>
      <c r="W465" s="9"/>
      <c r="X465" s="9"/>
      <c r="Y465" s="9"/>
      <c r="Z465" s="9"/>
    </row>
    <row r="466" ht="15.75" customHeight="1">
      <c r="A466" s="32"/>
      <c r="B466" s="9"/>
      <c r="C466" s="110"/>
      <c r="D466" s="134"/>
      <c r="E466" s="135"/>
      <c r="F466" s="9"/>
      <c r="G466" s="9"/>
      <c r="H466" s="9"/>
      <c r="I466" s="9"/>
      <c r="J466" s="9"/>
      <c r="K466" s="9"/>
      <c r="L466" s="9"/>
      <c r="M466" s="9"/>
      <c r="N466" s="9"/>
      <c r="O466" s="9"/>
      <c r="P466" s="9"/>
      <c r="Q466" s="9"/>
      <c r="R466" s="9"/>
      <c r="S466" s="9"/>
      <c r="T466" s="9"/>
      <c r="U466" s="9"/>
      <c r="V466" s="9"/>
      <c r="W466" s="9"/>
      <c r="X466" s="9"/>
      <c r="Y466" s="9"/>
      <c r="Z466" s="9"/>
    </row>
    <row r="467" ht="15.75" customHeight="1">
      <c r="A467" s="32"/>
      <c r="B467" s="9"/>
      <c r="C467" s="110"/>
      <c r="D467" s="134"/>
      <c r="E467" s="135"/>
      <c r="F467" s="9"/>
      <c r="G467" s="9"/>
      <c r="H467" s="9"/>
      <c r="I467" s="9"/>
      <c r="J467" s="9"/>
      <c r="K467" s="9"/>
      <c r="L467" s="9"/>
      <c r="M467" s="9"/>
      <c r="N467" s="9"/>
      <c r="O467" s="9"/>
      <c r="P467" s="9"/>
      <c r="Q467" s="9"/>
      <c r="R467" s="9"/>
      <c r="S467" s="9"/>
      <c r="T467" s="9"/>
      <c r="U467" s="9"/>
      <c r="V467" s="9"/>
      <c r="W467" s="9"/>
      <c r="X467" s="9"/>
      <c r="Y467" s="9"/>
      <c r="Z467" s="9"/>
    </row>
    <row r="468" ht="15.75" customHeight="1">
      <c r="A468" s="32"/>
      <c r="B468" s="9"/>
      <c r="C468" s="110"/>
      <c r="D468" s="134"/>
      <c r="E468" s="135"/>
      <c r="F468" s="9"/>
      <c r="G468" s="9"/>
      <c r="H468" s="9"/>
      <c r="I468" s="9"/>
      <c r="J468" s="9"/>
      <c r="K468" s="9"/>
      <c r="L468" s="9"/>
      <c r="M468" s="9"/>
      <c r="N468" s="9"/>
      <c r="O468" s="9"/>
      <c r="P468" s="9"/>
      <c r="Q468" s="9"/>
      <c r="R468" s="9"/>
      <c r="S468" s="9"/>
      <c r="T468" s="9"/>
      <c r="U468" s="9"/>
      <c r="V468" s="9"/>
      <c r="W468" s="9"/>
      <c r="X468" s="9"/>
      <c r="Y468" s="9"/>
      <c r="Z468" s="9"/>
    </row>
    <row r="469" ht="15.75" customHeight="1">
      <c r="A469" s="32"/>
      <c r="B469" s="9"/>
      <c r="C469" s="110"/>
      <c r="D469" s="134"/>
      <c r="E469" s="135"/>
      <c r="F469" s="9"/>
      <c r="G469" s="9"/>
      <c r="H469" s="9"/>
      <c r="I469" s="9"/>
      <c r="J469" s="9"/>
      <c r="K469" s="9"/>
      <c r="L469" s="9"/>
      <c r="M469" s="9"/>
      <c r="N469" s="9"/>
      <c r="O469" s="9"/>
      <c r="P469" s="9"/>
      <c r="Q469" s="9"/>
      <c r="R469" s="9"/>
      <c r="S469" s="9"/>
      <c r="T469" s="9"/>
      <c r="U469" s="9"/>
      <c r="V469" s="9"/>
      <c r="W469" s="9"/>
      <c r="X469" s="9"/>
      <c r="Y469" s="9"/>
      <c r="Z469" s="9"/>
    </row>
    <row r="470" ht="15.75" customHeight="1">
      <c r="A470" s="32"/>
      <c r="B470" s="9"/>
      <c r="C470" s="110"/>
      <c r="D470" s="134"/>
      <c r="E470" s="135"/>
      <c r="F470" s="9"/>
      <c r="G470" s="9"/>
      <c r="H470" s="9"/>
      <c r="I470" s="9"/>
      <c r="J470" s="9"/>
      <c r="K470" s="9"/>
      <c r="L470" s="9"/>
      <c r="M470" s="9"/>
      <c r="N470" s="9"/>
      <c r="O470" s="9"/>
      <c r="P470" s="9"/>
      <c r="Q470" s="9"/>
      <c r="R470" s="9"/>
      <c r="S470" s="9"/>
      <c r="T470" s="9"/>
      <c r="U470" s="9"/>
      <c r="V470" s="9"/>
      <c r="W470" s="9"/>
      <c r="X470" s="9"/>
      <c r="Y470" s="9"/>
      <c r="Z470" s="9"/>
    </row>
    <row r="471" ht="15.75" customHeight="1">
      <c r="A471" s="32"/>
      <c r="B471" s="9"/>
      <c r="C471" s="110"/>
      <c r="D471" s="134"/>
      <c r="E471" s="135"/>
      <c r="F471" s="9"/>
      <c r="G471" s="9"/>
      <c r="H471" s="9"/>
      <c r="I471" s="9"/>
      <c r="J471" s="9"/>
      <c r="K471" s="9"/>
      <c r="L471" s="9"/>
      <c r="M471" s="9"/>
      <c r="N471" s="9"/>
      <c r="O471" s="9"/>
      <c r="P471" s="9"/>
      <c r="Q471" s="9"/>
      <c r="R471" s="9"/>
      <c r="S471" s="9"/>
      <c r="T471" s="9"/>
      <c r="U471" s="9"/>
      <c r="V471" s="9"/>
      <c r="W471" s="9"/>
      <c r="X471" s="9"/>
      <c r="Y471" s="9"/>
      <c r="Z471" s="9"/>
    </row>
    <row r="472" ht="15.75" customHeight="1">
      <c r="A472" s="32"/>
      <c r="B472" s="9"/>
      <c r="C472" s="110"/>
      <c r="D472" s="134"/>
      <c r="E472" s="135"/>
      <c r="F472" s="9"/>
      <c r="G472" s="9"/>
      <c r="H472" s="9"/>
      <c r="I472" s="9"/>
      <c r="J472" s="9"/>
      <c r="K472" s="9"/>
      <c r="L472" s="9"/>
      <c r="M472" s="9"/>
      <c r="N472" s="9"/>
      <c r="O472" s="9"/>
      <c r="P472" s="9"/>
      <c r="Q472" s="9"/>
      <c r="R472" s="9"/>
      <c r="S472" s="9"/>
      <c r="T472" s="9"/>
      <c r="U472" s="9"/>
      <c r="V472" s="9"/>
      <c r="W472" s="9"/>
      <c r="X472" s="9"/>
      <c r="Y472" s="9"/>
      <c r="Z472" s="9"/>
    </row>
    <row r="473" ht="15.75" customHeight="1">
      <c r="A473" s="32"/>
      <c r="B473" s="9"/>
      <c r="C473" s="110"/>
      <c r="D473" s="134"/>
      <c r="E473" s="135"/>
      <c r="F473" s="9"/>
      <c r="G473" s="9"/>
      <c r="H473" s="9"/>
      <c r="I473" s="9"/>
      <c r="J473" s="9"/>
      <c r="K473" s="9"/>
      <c r="L473" s="9"/>
      <c r="M473" s="9"/>
      <c r="N473" s="9"/>
      <c r="O473" s="9"/>
      <c r="P473" s="9"/>
      <c r="Q473" s="9"/>
      <c r="R473" s="9"/>
      <c r="S473" s="9"/>
      <c r="T473" s="9"/>
      <c r="U473" s="9"/>
      <c r="V473" s="9"/>
      <c r="W473" s="9"/>
      <c r="X473" s="9"/>
      <c r="Y473" s="9"/>
      <c r="Z473" s="9"/>
    </row>
    <row r="474" ht="15.75" customHeight="1">
      <c r="A474" s="32"/>
      <c r="B474" s="9"/>
      <c r="C474" s="110"/>
      <c r="D474" s="134"/>
      <c r="E474" s="135"/>
      <c r="F474" s="9"/>
      <c r="G474" s="9"/>
      <c r="H474" s="9"/>
      <c r="I474" s="9"/>
      <c r="J474" s="9"/>
      <c r="K474" s="9"/>
      <c r="L474" s="9"/>
      <c r="M474" s="9"/>
      <c r="N474" s="9"/>
      <c r="O474" s="9"/>
      <c r="P474" s="9"/>
      <c r="Q474" s="9"/>
      <c r="R474" s="9"/>
      <c r="S474" s="9"/>
      <c r="T474" s="9"/>
      <c r="U474" s="9"/>
      <c r="V474" s="9"/>
      <c r="W474" s="9"/>
      <c r="X474" s="9"/>
      <c r="Y474" s="9"/>
      <c r="Z474" s="9"/>
    </row>
    <row r="475" ht="15.75" customHeight="1">
      <c r="A475" s="32"/>
      <c r="B475" s="9"/>
      <c r="C475" s="110"/>
      <c r="D475" s="134"/>
      <c r="E475" s="135"/>
      <c r="F475" s="9"/>
      <c r="G475" s="9"/>
      <c r="H475" s="9"/>
      <c r="I475" s="9"/>
      <c r="J475" s="9"/>
      <c r="K475" s="9"/>
      <c r="L475" s="9"/>
      <c r="M475" s="9"/>
      <c r="N475" s="9"/>
      <c r="O475" s="9"/>
      <c r="P475" s="9"/>
      <c r="Q475" s="9"/>
      <c r="R475" s="9"/>
      <c r="S475" s="9"/>
      <c r="T475" s="9"/>
      <c r="U475" s="9"/>
      <c r="V475" s="9"/>
      <c r="W475" s="9"/>
      <c r="X475" s="9"/>
      <c r="Y475" s="9"/>
      <c r="Z475" s="9"/>
    </row>
    <row r="476" ht="15.75" customHeight="1">
      <c r="A476" s="32"/>
      <c r="B476" s="9"/>
      <c r="C476" s="110"/>
      <c r="D476" s="134"/>
      <c r="E476" s="135"/>
      <c r="F476" s="9"/>
      <c r="G476" s="9"/>
      <c r="H476" s="9"/>
      <c r="I476" s="9"/>
      <c r="J476" s="9"/>
      <c r="K476" s="9"/>
      <c r="L476" s="9"/>
      <c r="M476" s="9"/>
      <c r="N476" s="9"/>
      <c r="O476" s="9"/>
      <c r="P476" s="9"/>
      <c r="Q476" s="9"/>
      <c r="R476" s="9"/>
      <c r="S476" s="9"/>
      <c r="T476" s="9"/>
      <c r="U476" s="9"/>
      <c r="V476" s="9"/>
      <c r="W476" s="9"/>
      <c r="X476" s="9"/>
      <c r="Y476" s="9"/>
      <c r="Z476" s="9"/>
    </row>
    <row r="477" ht="15.75" customHeight="1">
      <c r="A477" s="32"/>
      <c r="B477" s="9"/>
      <c r="C477" s="110"/>
      <c r="D477" s="134"/>
      <c r="E477" s="135"/>
      <c r="F477" s="9"/>
      <c r="G477" s="9"/>
      <c r="H477" s="9"/>
      <c r="I477" s="9"/>
      <c r="J477" s="9"/>
      <c r="K477" s="9"/>
      <c r="L477" s="9"/>
      <c r="M477" s="9"/>
      <c r="N477" s="9"/>
      <c r="O477" s="9"/>
      <c r="P477" s="9"/>
      <c r="Q477" s="9"/>
      <c r="R477" s="9"/>
      <c r="S477" s="9"/>
      <c r="T477" s="9"/>
      <c r="U477" s="9"/>
      <c r="V477" s="9"/>
      <c r="W477" s="9"/>
      <c r="X477" s="9"/>
      <c r="Y477" s="9"/>
      <c r="Z477" s="9"/>
    </row>
    <row r="478" ht="15.75" customHeight="1">
      <c r="A478" s="32"/>
      <c r="B478" s="9"/>
      <c r="C478" s="110"/>
      <c r="D478" s="134"/>
      <c r="E478" s="135"/>
      <c r="F478" s="9"/>
      <c r="G478" s="9"/>
      <c r="H478" s="9"/>
      <c r="I478" s="9"/>
      <c r="J478" s="9"/>
      <c r="K478" s="9"/>
      <c r="L478" s="9"/>
      <c r="M478" s="9"/>
      <c r="N478" s="9"/>
      <c r="O478" s="9"/>
      <c r="P478" s="9"/>
      <c r="Q478" s="9"/>
      <c r="R478" s="9"/>
      <c r="S478" s="9"/>
      <c r="T478" s="9"/>
      <c r="U478" s="9"/>
      <c r="V478" s="9"/>
      <c r="W478" s="9"/>
      <c r="X478" s="9"/>
      <c r="Y478" s="9"/>
      <c r="Z478" s="9"/>
    </row>
    <row r="479" ht="15.75" customHeight="1">
      <c r="A479" s="32"/>
      <c r="B479" s="9"/>
      <c r="C479" s="110"/>
      <c r="D479" s="134"/>
      <c r="E479" s="135"/>
      <c r="F479" s="9"/>
      <c r="G479" s="9"/>
      <c r="H479" s="9"/>
      <c r="I479" s="9"/>
      <c r="J479" s="9"/>
      <c r="K479" s="9"/>
      <c r="L479" s="9"/>
      <c r="M479" s="9"/>
      <c r="N479" s="9"/>
      <c r="O479" s="9"/>
      <c r="P479" s="9"/>
      <c r="Q479" s="9"/>
      <c r="R479" s="9"/>
      <c r="S479" s="9"/>
      <c r="T479" s="9"/>
      <c r="U479" s="9"/>
      <c r="V479" s="9"/>
      <c r="W479" s="9"/>
      <c r="X479" s="9"/>
      <c r="Y479" s="9"/>
      <c r="Z479" s="9"/>
    </row>
    <row r="480" ht="15.75" customHeight="1">
      <c r="A480" s="32"/>
      <c r="B480" s="9"/>
      <c r="C480" s="110"/>
      <c r="D480" s="134"/>
      <c r="E480" s="135"/>
      <c r="F480" s="9"/>
      <c r="G480" s="9"/>
      <c r="H480" s="9"/>
      <c r="I480" s="9"/>
      <c r="J480" s="9"/>
      <c r="K480" s="9"/>
      <c r="L480" s="9"/>
      <c r="M480" s="9"/>
      <c r="N480" s="9"/>
      <c r="O480" s="9"/>
      <c r="P480" s="9"/>
      <c r="Q480" s="9"/>
      <c r="R480" s="9"/>
      <c r="S480" s="9"/>
      <c r="T480" s="9"/>
      <c r="U480" s="9"/>
      <c r="V480" s="9"/>
      <c r="W480" s="9"/>
      <c r="X480" s="9"/>
      <c r="Y480" s="9"/>
      <c r="Z480" s="9"/>
    </row>
    <row r="481" ht="15.75" customHeight="1">
      <c r="A481" s="32"/>
      <c r="B481" s="9"/>
      <c r="C481" s="110"/>
      <c r="D481" s="134"/>
      <c r="E481" s="135"/>
      <c r="F481" s="9"/>
      <c r="G481" s="9"/>
      <c r="H481" s="9"/>
      <c r="I481" s="9"/>
      <c r="J481" s="9"/>
      <c r="K481" s="9"/>
      <c r="L481" s="9"/>
      <c r="M481" s="9"/>
      <c r="N481" s="9"/>
      <c r="O481" s="9"/>
      <c r="P481" s="9"/>
      <c r="Q481" s="9"/>
      <c r="R481" s="9"/>
      <c r="S481" s="9"/>
      <c r="T481" s="9"/>
      <c r="U481" s="9"/>
      <c r="V481" s="9"/>
      <c r="W481" s="9"/>
      <c r="X481" s="9"/>
      <c r="Y481" s="9"/>
      <c r="Z481" s="9"/>
    </row>
    <row r="482" ht="15.75" customHeight="1">
      <c r="A482" s="32"/>
      <c r="B482" s="9"/>
      <c r="C482" s="110"/>
      <c r="D482" s="134"/>
      <c r="E482" s="135"/>
      <c r="F482" s="9"/>
      <c r="G482" s="9"/>
      <c r="H482" s="9"/>
      <c r="I482" s="9"/>
      <c r="J482" s="9"/>
      <c r="K482" s="9"/>
      <c r="L482" s="9"/>
      <c r="M482" s="9"/>
      <c r="N482" s="9"/>
      <c r="O482" s="9"/>
      <c r="P482" s="9"/>
      <c r="Q482" s="9"/>
      <c r="R482" s="9"/>
      <c r="S482" s="9"/>
      <c r="T482" s="9"/>
      <c r="U482" s="9"/>
      <c r="V482" s="9"/>
      <c r="W482" s="9"/>
      <c r="X482" s="9"/>
      <c r="Y482" s="9"/>
      <c r="Z482" s="9"/>
    </row>
    <row r="483" ht="15.75" customHeight="1">
      <c r="A483" s="32"/>
      <c r="B483" s="9"/>
      <c r="C483" s="110"/>
      <c r="D483" s="134"/>
      <c r="E483" s="135"/>
      <c r="F483" s="9"/>
      <c r="G483" s="9"/>
      <c r="H483" s="9"/>
      <c r="I483" s="9"/>
      <c r="J483" s="9"/>
      <c r="K483" s="9"/>
      <c r="L483" s="9"/>
      <c r="M483" s="9"/>
      <c r="N483" s="9"/>
      <c r="O483" s="9"/>
      <c r="P483" s="9"/>
      <c r="Q483" s="9"/>
      <c r="R483" s="9"/>
      <c r="S483" s="9"/>
      <c r="T483" s="9"/>
      <c r="U483" s="9"/>
      <c r="V483" s="9"/>
      <c r="W483" s="9"/>
      <c r="X483" s="9"/>
      <c r="Y483" s="9"/>
      <c r="Z483" s="9"/>
    </row>
    <row r="484" ht="15.75" customHeight="1">
      <c r="A484" s="32"/>
      <c r="B484" s="9"/>
      <c r="C484" s="110"/>
      <c r="D484" s="134"/>
      <c r="E484" s="135"/>
      <c r="F484" s="9"/>
      <c r="G484" s="9"/>
      <c r="H484" s="9"/>
      <c r="I484" s="9"/>
      <c r="J484" s="9"/>
      <c r="K484" s="9"/>
      <c r="L484" s="9"/>
      <c r="M484" s="9"/>
      <c r="N484" s="9"/>
      <c r="O484" s="9"/>
      <c r="P484" s="9"/>
      <c r="Q484" s="9"/>
      <c r="R484" s="9"/>
      <c r="S484" s="9"/>
      <c r="T484" s="9"/>
      <c r="U484" s="9"/>
      <c r="V484" s="9"/>
      <c r="W484" s="9"/>
      <c r="X484" s="9"/>
      <c r="Y484" s="9"/>
      <c r="Z484" s="9"/>
    </row>
    <row r="485" ht="15.75" customHeight="1">
      <c r="A485" s="32"/>
      <c r="B485" s="9"/>
      <c r="C485" s="110"/>
      <c r="D485" s="134"/>
      <c r="E485" s="135"/>
      <c r="F485" s="9"/>
      <c r="G485" s="9"/>
      <c r="H485" s="9"/>
      <c r="I485" s="9"/>
      <c r="J485" s="9"/>
      <c r="K485" s="9"/>
      <c r="L485" s="9"/>
      <c r="M485" s="9"/>
      <c r="N485" s="9"/>
      <c r="O485" s="9"/>
      <c r="P485" s="9"/>
      <c r="Q485" s="9"/>
      <c r="R485" s="9"/>
      <c r="S485" s="9"/>
      <c r="T485" s="9"/>
      <c r="U485" s="9"/>
      <c r="V485" s="9"/>
      <c r="W485" s="9"/>
      <c r="X485" s="9"/>
      <c r="Y485" s="9"/>
      <c r="Z485" s="9"/>
    </row>
    <row r="486" ht="15.75" customHeight="1">
      <c r="A486" s="32"/>
      <c r="B486" s="9"/>
      <c r="C486" s="110"/>
      <c r="D486" s="134"/>
      <c r="E486" s="135"/>
      <c r="F486" s="9"/>
      <c r="G486" s="9"/>
      <c r="H486" s="9"/>
      <c r="I486" s="9"/>
      <c r="J486" s="9"/>
      <c r="K486" s="9"/>
      <c r="L486" s="9"/>
      <c r="M486" s="9"/>
      <c r="N486" s="9"/>
      <c r="O486" s="9"/>
      <c r="P486" s="9"/>
      <c r="Q486" s="9"/>
      <c r="R486" s="9"/>
      <c r="S486" s="9"/>
      <c r="T486" s="9"/>
      <c r="U486" s="9"/>
      <c r="V486" s="9"/>
      <c r="W486" s="9"/>
      <c r="X486" s="9"/>
      <c r="Y486" s="9"/>
      <c r="Z486" s="9"/>
    </row>
    <row r="487" ht="15.75" customHeight="1">
      <c r="A487" s="32"/>
      <c r="B487" s="9"/>
      <c r="C487" s="110"/>
      <c r="D487" s="134"/>
      <c r="E487" s="135"/>
      <c r="F487" s="9"/>
      <c r="G487" s="9"/>
      <c r="H487" s="9"/>
      <c r="I487" s="9"/>
      <c r="J487" s="9"/>
      <c r="K487" s="9"/>
      <c r="L487" s="9"/>
      <c r="M487" s="9"/>
      <c r="N487" s="9"/>
      <c r="O487" s="9"/>
      <c r="P487" s="9"/>
      <c r="Q487" s="9"/>
      <c r="R487" s="9"/>
      <c r="S487" s="9"/>
      <c r="T487" s="9"/>
      <c r="U487" s="9"/>
      <c r="V487" s="9"/>
      <c r="W487" s="9"/>
      <c r="X487" s="9"/>
      <c r="Y487" s="9"/>
      <c r="Z487" s="9"/>
    </row>
    <row r="488" ht="15.75" customHeight="1">
      <c r="A488" s="32"/>
      <c r="B488" s="9"/>
      <c r="C488" s="110"/>
      <c r="D488" s="134"/>
      <c r="E488" s="135"/>
      <c r="F488" s="9"/>
      <c r="G488" s="9"/>
      <c r="H488" s="9"/>
      <c r="I488" s="9"/>
      <c r="J488" s="9"/>
      <c r="K488" s="9"/>
      <c r="L488" s="9"/>
      <c r="M488" s="9"/>
      <c r="N488" s="9"/>
      <c r="O488" s="9"/>
      <c r="P488" s="9"/>
      <c r="Q488" s="9"/>
      <c r="R488" s="9"/>
      <c r="S488" s="9"/>
      <c r="T488" s="9"/>
      <c r="U488" s="9"/>
      <c r="V488" s="9"/>
      <c r="W488" s="9"/>
      <c r="X488" s="9"/>
      <c r="Y488" s="9"/>
      <c r="Z488" s="9"/>
    </row>
    <row r="489" ht="15.75" customHeight="1">
      <c r="A489" s="32"/>
      <c r="B489" s="9"/>
      <c r="C489" s="110"/>
      <c r="D489" s="134"/>
      <c r="E489" s="135"/>
      <c r="F489" s="9"/>
      <c r="G489" s="9"/>
      <c r="H489" s="9"/>
      <c r="I489" s="9"/>
      <c r="J489" s="9"/>
      <c r="K489" s="9"/>
      <c r="L489" s="9"/>
      <c r="M489" s="9"/>
      <c r="N489" s="9"/>
      <c r="O489" s="9"/>
      <c r="P489" s="9"/>
      <c r="Q489" s="9"/>
      <c r="R489" s="9"/>
      <c r="S489" s="9"/>
      <c r="T489" s="9"/>
      <c r="U489" s="9"/>
      <c r="V489" s="9"/>
      <c r="W489" s="9"/>
      <c r="X489" s="9"/>
      <c r="Y489" s="9"/>
      <c r="Z489" s="9"/>
    </row>
    <row r="490" ht="15.75" customHeight="1">
      <c r="A490" s="32"/>
      <c r="B490" s="9"/>
      <c r="C490" s="110"/>
      <c r="D490" s="134"/>
      <c r="E490" s="135"/>
      <c r="F490" s="9"/>
      <c r="G490" s="9"/>
      <c r="H490" s="9"/>
      <c r="I490" s="9"/>
      <c r="J490" s="9"/>
      <c r="K490" s="9"/>
      <c r="L490" s="9"/>
      <c r="M490" s="9"/>
      <c r="N490" s="9"/>
      <c r="O490" s="9"/>
      <c r="P490" s="9"/>
      <c r="Q490" s="9"/>
      <c r="R490" s="9"/>
      <c r="S490" s="9"/>
      <c r="T490" s="9"/>
      <c r="U490" s="9"/>
      <c r="V490" s="9"/>
      <c r="W490" s="9"/>
      <c r="X490" s="9"/>
      <c r="Y490" s="9"/>
      <c r="Z490" s="9"/>
    </row>
    <row r="491" ht="15.75" customHeight="1">
      <c r="A491" s="32"/>
      <c r="B491" s="9"/>
      <c r="C491" s="110"/>
      <c r="D491" s="134"/>
      <c r="E491" s="135"/>
      <c r="F491" s="9"/>
      <c r="G491" s="9"/>
      <c r="H491" s="9"/>
      <c r="I491" s="9"/>
      <c r="J491" s="9"/>
      <c r="K491" s="9"/>
      <c r="L491" s="9"/>
      <c r="M491" s="9"/>
      <c r="N491" s="9"/>
      <c r="O491" s="9"/>
      <c r="P491" s="9"/>
      <c r="Q491" s="9"/>
      <c r="R491" s="9"/>
      <c r="S491" s="9"/>
      <c r="T491" s="9"/>
      <c r="U491" s="9"/>
      <c r="V491" s="9"/>
      <c r="W491" s="9"/>
      <c r="X491" s="9"/>
      <c r="Y491" s="9"/>
      <c r="Z491" s="9"/>
    </row>
    <row r="492" ht="15.75" customHeight="1">
      <c r="A492" s="32"/>
      <c r="B492" s="9"/>
      <c r="C492" s="110"/>
      <c r="D492" s="134"/>
      <c r="E492" s="135"/>
      <c r="F492" s="9"/>
      <c r="G492" s="9"/>
      <c r="H492" s="9"/>
      <c r="I492" s="9"/>
      <c r="J492" s="9"/>
      <c r="K492" s="9"/>
      <c r="L492" s="9"/>
      <c r="M492" s="9"/>
      <c r="N492" s="9"/>
      <c r="O492" s="9"/>
      <c r="P492" s="9"/>
      <c r="Q492" s="9"/>
      <c r="R492" s="9"/>
      <c r="S492" s="9"/>
      <c r="T492" s="9"/>
      <c r="U492" s="9"/>
      <c r="V492" s="9"/>
      <c r="W492" s="9"/>
      <c r="X492" s="9"/>
      <c r="Y492" s="9"/>
      <c r="Z492" s="9"/>
    </row>
    <row r="493" ht="15.75" customHeight="1">
      <c r="A493" s="32"/>
      <c r="B493" s="9"/>
      <c r="C493" s="110"/>
      <c r="D493" s="134"/>
      <c r="E493" s="135"/>
      <c r="F493" s="9"/>
      <c r="G493" s="9"/>
      <c r="H493" s="9"/>
      <c r="I493" s="9"/>
      <c r="J493" s="9"/>
      <c r="K493" s="9"/>
      <c r="L493" s="9"/>
      <c r="M493" s="9"/>
      <c r="N493" s="9"/>
      <c r="O493" s="9"/>
      <c r="P493" s="9"/>
      <c r="Q493" s="9"/>
      <c r="R493" s="9"/>
      <c r="S493" s="9"/>
      <c r="T493" s="9"/>
      <c r="U493" s="9"/>
      <c r="V493" s="9"/>
      <c r="W493" s="9"/>
      <c r="X493" s="9"/>
      <c r="Y493" s="9"/>
      <c r="Z493" s="9"/>
    </row>
    <row r="494" ht="15.75" customHeight="1">
      <c r="A494" s="32"/>
      <c r="B494" s="9"/>
      <c r="C494" s="110"/>
      <c r="D494" s="134"/>
      <c r="E494" s="135"/>
      <c r="F494" s="9"/>
      <c r="G494" s="9"/>
      <c r="H494" s="9"/>
      <c r="I494" s="9"/>
      <c r="J494" s="9"/>
      <c r="K494" s="9"/>
      <c r="L494" s="9"/>
      <c r="M494" s="9"/>
      <c r="N494" s="9"/>
      <c r="O494" s="9"/>
      <c r="P494" s="9"/>
      <c r="Q494" s="9"/>
      <c r="R494" s="9"/>
      <c r="S494" s="9"/>
      <c r="T494" s="9"/>
      <c r="U494" s="9"/>
      <c r="V494" s="9"/>
      <c r="W494" s="9"/>
      <c r="X494" s="9"/>
      <c r="Y494" s="9"/>
      <c r="Z494" s="9"/>
    </row>
    <row r="495" ht="15.75" customHeight="1">
      <c r="A495" s="32"/>
      <c r="B495" s="9"/>
      <c r="C495" s="110"/>
      <c r="D495" s="134"/>
      <c r="E495" s="135"/>
      <c r="F495" s="9"/>
      <c r="G495" s="9"/>
      <c r="H495" s="9"/>
      <c r="I495" s="9"/>
      <c r="J495" s="9"/>
      <c r="K495" s="9"/>
      <c r="L495" s="9"/>
      <c r="M495" s="9"/>
      <c r="N495" s="9"/>
      <c r="O495" s="9"/>
      <c r="P495" s="9"/>
      <c r="Q495" s="9"/>
      <c r="R495" s="9"/>
      <c r="S495" s="9"/>
      <c r="T495" s="9"/>
      <c r="U495" s="9"/>
      <c r="V495" s="9"/>
      <c r="W495" s="9"/>
      <c r="X495" s="9"/>
      <c r="Y495" s="9"/>
      <c r="Z495" s="9"/>
    </row>
    <row r="496" ht="15.75" customHeight="1">
      <c r="A496" s="32"/>
      <c r="B496" s="9"/>
      <c r="C496" s="110"/>
      <c r="D496" s="134"/>
      <c r="E496" s="135"/>
      <c r="F496" s="9"/>
      <c r="G496" s="9"/>
      <c r="H496" s="9"/>
      <c r="I496" s="9"/>
      <c r="J496" s="9"/>
      <c r="K496" s="9"/>
      <c r="L496" s="9"/>
      <c r="M496" s="9"/>
      <c r="N496" s="9"/>
      <c r="O496" s="9"/>
      <c r="P496" s="9"/>
      <c r="Q496" s="9"/>
      <c r="R496" s="9"/>
      <c r="S496" s="9"/>
      <c r="T496" s="9"/>
      <c r="U496" s="9"/>
      <c r="V496" s="9"/>
      <c r="W496" s="9"/>
      <c r="X496" s="9"/>
      <c r="Y496" s="9"/>
      <c r="Z496" s="9"/>
    </row>
    <row r="497" ht="15.75" customHeight="1">
      <c r="A497" s="32"/>
      <c r="B497" s="9"/>
      <c r="C497" s="110"/>
      <c r="D497" s="134"/>
      <c r="E497" s="135"/>
      <c r="F497" s="9"/>
      <c r="G497" s="9"/>
      <c r="H497" s="9"/>
      <c r="I497" s="9"/>
      <c r="J497" s="9"/>
      <c r="K497" s="9"/>
      <c r="L497" s="9"/>
      <c r="M497" s="9"/>
      <c r="N497" s="9"/>
      <c r="O497" s="9"/>
      <c r="P497" s="9"/>
      <c r="Q497" s="9"/>
      <c r="R497" s="9"/>
      <c r="S497" s="9"/>
      <c r="T497" s="9"/>
      <c r="U497" s="9"/>
      <c r="V497" s="9"/>
      <c r="W497" s="9"/>
      <c r="X497" s="9"/>
      <c r="Y497" s="9"/>
      <c r="Z497" s="9"/>
    </row>
    <row r="498" ht="15.75" customHeight="1">
      <c r="A498" s="32"/>
      <c r="B498" s="9"/>
      <c r="C498" s="110"/>
      <c r="D498" s="134"/>
      <c r="E498" s="135"/>
      <c r="F498" s="9"/>
      <c r="G498" s="9"/>
      <c r="H498" s="9"/>
      <c r="I498" s="9"/>
      <c r="J498" s="9"/>
      <c r="K498" s="9"/>
      <c r="L498" s="9"/>
      <c r="M498" s="9"/>
      <c r="N498" s="9"/>
      <c r="O498" s="9"/>
      <c r="P498" s="9"/>
      <c r="Q498" s="9"/>
      <c r="R498" s="9"/>
      <c r="S498" s="9"/>
      <c r="T498" s="9"/>
      <c r="U498" s="9"/>
      <c r="V498" s="9"/>
      <c r="W498" s="9"/>
      <c r="X498" s="9"/>
      <c r="Y498" s="9"/>
      <c r="Z498" s="9"/>
    </row>
    <row r="499" ht="15.75" customHeight="1">
      <c r="A499" s="32"/>
      <c r="B499" s="9"/>
      <c r="C499" s="110"/>
      <c r="D499" s="134"/>
      <c r="E499" s="135"/>
      <c r="F499" s="9"/>
      <c r="G499" s="9"/>
      <c r="H499" s="9"/>
      <c r="I499" s="9"/>
      <c r="J499" s="9"/>
      <c r="K499" s="9"/>
      <c r="L499" s="9"/>
      <c r="M499" s="9"/>
      <c r="N499" s="9"/>
      <c r="O499" s="9"/>
      <c r="P499" s="9"/>
      <c r="Q499" s="9"/>
      <c r="R499" s="9"/>
      <c r="S499" s="9"/>
      <c r="T499" s="9"/>
      <c r="U499" s="9"/>
      <c r="V499" s="9"/>
      <c r="W499" s="9"/>
      <c r="X499" s="9"/>
      <c r="Y499" s="9"/>
      <c r="Z499" s="9"/>
    </row>
    <row r="500" ht="15.75" customHeight="1">
      <c r="A500" s="32"/>
      <c r="B500" s="9"/>
      <c r="C500" s="110"/>
      <c r="D500" s="134"/>
      <c r="E500" s="135"/>
      <c r="F500" s="9"/>
      <c r="G500" s="9"/>
      <c r="H500" s="9"/>
      <c r="I500" s="9"/>
      <c r="J500" s="9"/>
      <c r="K500" s="9"/>
      <c r="L500" s="9"/>
      <c r="M500" s="9"/>
      <c r="N500" s="9"/>
      <c r="O500" s="9"/>
      <c r="P500" s="9"/>
      <c r="Q500" s="9"/>
      <c r="R500" s="9"/>
      <c r="S500" s="9"/>
      <c r="T500" s="9"/>
      <c r="U500" s="9"/>
      <c r="V500" s="9"/>
      <c r="W500" s="9"/>
      <c r="X500" s="9"/>
      <c r="Y500" s="9"/>
      <c r="Z500" s="9"/>
    </row>
    <row r="501" ht="15.75" customHeight="1">
      <c r="A501" s="32"/>
      <c r="B501" s="9"/>
      <c r="C501" s="110"/>
      <c r="D501" s="134"/>
      <c r="E501" s="135"/>
      <c r="F501" s="9"/>
      <c r="G501" s="9"/>
      <c r="H501" s="9"/>
      <c r="I501" s="9"/>
      <c r="J501" s="9"/>
      <c r="K501" s="9"/>
      <c r="L501" s="9"/>
      <c r="M501" s="9"/>
      <c r="N501" s="9"/>
      <c r="O501" s="9"/>
      <c r="P501" s="9"/>
      <c r="Q501" s="9"/>
      <c r="R501" s="9"/>
      <c r="S501" s="9"/>
      <c r="T501" s="9"/>
      <c r="U501" s="9"/>
      <c r="V501" s="9"/>
      <c r="W501" s="9"/>
      <c r="X501" s="9"/>
      <c r="Y501" s="9"/>
      <c r="Z501" s="9"/>
    </row>
    <row r="502" ht="15.75" customHeight="1">
      <c r="A502" s="32"/>
      <c r="B502" s="9"/>
      <c r="C502" s="110"/>
      <c r="D502" s="134"/>
      <c r="E502" s="135"/>
      <c r="F502" s="9"/>
      <c r="G502" s="9"/>
      <c r="H502" s="9"/>
      <c r="I502" s="9"/>
      <c r="J502" s="9"/>
      <c r="K502" s="9"/>
      <c r="L502" s="9"/>
      <c r="M502" s="9"/>
      <c r="N502" s="9"/>
      <c r="O502" s="9"/>
      <c r="P502" s="9"/>
      <c r="Q502" s="9"/>
      <c r="R502" s="9"/>
      <c r="S502" s="9"/>
      <c r="T502" s="9"/>
      <c r="U502" s="9"/>
      <c r="V502" s="9"/>
      <c r="W502" s="9"/>
      <c r="X502" s="9"/>
      <c r="Y502" s="9"/>
      <c r="Z502" s="9"/>
    </row>
    <row r="503" ht="15.75" customHeight="1">
      <c r="A503" s="32"/>
      <c r="B503" s="9"/>
      <c r="C503" s="110"/>
      <c r="D503" s="134"/>
      <c r="E503" s="135"/>
      <c r="F503" s="9"/>
      <c r="G503" s="9"/>
      <c r="H503" s="9"/>
      <c r="I503" s="9"/>
      <c r="J503" s="9"/>
      <c r="K503" s="9"/>
      <c r="L503" s="9"/>
      <c r="M503" s="9"/>
      <c r="N503" s="9"/>
      <c r="O503" s="9"/>
      <c r="P503" s="9"/>
      <c r="Q503" s="9"/>
      <c r="R503" s="9"/>
      <c r="S503" s="9"/>
      <c r="T503" s="9"/>
      <c r="U503" s="9"/>
      <c r="V503" s="9"/>
      <c r="W503" s="9"/>
      <c r="X503" s="9"/>
      <c r="Y503" s="9"/>
      <c r="Z503" s="9"/>
    </row>
    <row r="504" ht="15.75" customHeight="1">
      <c r="A504" s="32"/>
      <c r="B504" s="9"/>
      <c r="C504" s="110"/>
      <c r="D504" s="134"/>
      <c r="E504" s="135"/>
      <c r="F504" s="9"/>
      <c r="G504" s="9"/>
      <c r="H504" s="9"/>
      <c r="I504" s="9"/>
      <c r="J504" s="9"/>
      <c r="K504" s="9"/>
      <c r="L504" s="9"/>
      <c r="M504" s="9"/>
      <c r="N504" s="9"/>
      <c r="O504" s="9"/>
      <c r="P504" s="9"/>
      <c r="Q504" s="9"/>
      <c r="R504" s="9"/>
      <c r="S504" s="9"/>
      <c r="T504" s="9"/>
      <c r="U504" s="9"/>
      <c r="V504" s="9"/>
      <c r="W504" s="9"/>
      <c r="X504" s="9"/>
      <c r="Y504" s="9"/>
      <c r="Z504" s="9"/>
    </row>
    <row r="505" ht="15.75" customHeight="1">
      <c r="A505" s="32"/>
      <c r="B505" s="9"/>
      <c r="C505" s="110"/>
      <c r="D505" s="134"/>
      <c r="E505" s="135"/>
      <c r="F505" s="9"/>
      <c r="G505" s="9"/>
      <c r="H505" s="9"/>
      <c r="I505" s="9"/>
      <c r="J505" s="9"/>
      <c r="K505" s="9"/>
      <c r="L505" s="9"/>
      <c r="M505" s="9"/>
      <c r="N505" s="9"/>
      <c r="O505" s="9"/>
      <c r="P505" s="9"/>
      <c r="Q505" s="9"/>
      <c r="R505" s="9"/>
      <c r="S505" s="9"/>
      <c r="T505" s="9"/>
      <c r="U505" s="9"/>
      <c r="V505" s="9"/>
      <c r="W505" s="9"/>
      <c r="X505" s="9"/>
      <c r="Y505" s="9"/>
      <c r="Z505" s="9"/>
    </row>
    <row r="506" ht="15.75" customHeight="1">
      <c r="A506" s="32"/>
      <c r="B506" s="9"/>
      <c r="C506" s="110"/>
      <c r="D506" s="134"/>
      <c r="E506" s="135"/>
      <c r="F506" s="9"/>
      <c r="G506" s="9"/>
      <c r="H506" s="9"/>
      <c r="I506" s="9"/>
      <c r="J506" s="9"/>
      <c r="K506" s="9"/>
      <c r="L506" s="9"/>
      <c r="M506" s="9"/>
      <c r="N506" s="9"/>
      <c r="O506" s="9"/>
      <c r="P506" s="9"/>
      <c r="Q506" s="9"/>
      <c r="R506" s="9"/>
      <c r="S506" s="9"/>
      <c r="T506" s="9"/>
      <c r="U506" s="9"/>
      <c r="V506" s="9"/>
      <c r="W506" s="9"/>
      <c r="X506" s="9"/>
      <c r="Y506" s="9"/>
      <c r="Z506" s="9"/>
    </row>
    <row r="507" ht="15.75" customHeight="1">
      <c r="A507" s="32"/>
      <c r="B507" s="9"/>
      <c r="C507" s="110"/>
      <c r="D507" s="134"/>
      <c r="E507" s="135"/>
      <c r="F507" s="9"/>
      <c r="G507" s="9"/>
      <c r="H507" s="9"/>
      <c r="I507" s="9"/>
      <c r="J507" s="9"/>
      <c r="K507" s="9"/>
      <c r="L507" s="9"/>
      <c r="M507" s="9"/>
      <c r="N507" s="9"/>
      <c r="O507" s="9"/>
      <c r="P507" s="9"/>
      <c r="Q507" s="9"/>
      <c r="R507" s="9"/>
      <c r="S507" s="9"/>
      <c r="T507" s="9"/>
      <c r="U507" s="9"/>
      <c r="V507" s="9"/>
      <c r="W507" s="9"/>
      <c r="X507" s="9"/>
      <c r="Y507" s="9"/>
      <c r="Z507" s="9"/>
    </row>
    <row r="508" ht="15.75" customHeight="1">
      <c r="A508" s="32"/>
      <c r="B508" s="9"/>
      <c r="C508" s="110"/>
      <c r="D508" s="134"/>
      <c r="E508" s="135"/>
      <c r="F508" s="9"/>
      <c r="G508" s="9"/>
      <c r="H508" s="9"/>
      <c r="I508" s="9"/>
      <c r="J508" s="9"/>
      <c r="K508" s="9"/>
      <c r="L508" s="9"/>
      <c r="M508" s="9"/>
      <c r="N508" s="9"/>
      <c r="O508" s="9"/>
      <c r="P508" s="9"/>
      <c r="Q508" s="9"/>
      <c r="R508" s="9"/>
      <c r="S508" s="9"/>
      <c r="T508" s="9"/>
      <c r="U508" s="9"/>
      <c r="V508" s="9"/>
      <c r="W508" s="9"/>
      <c r="X508" s="9"/>
      <c r="Y508" s="9"/>
      <c r="Z508" s="9"/>
    </row>
    <row r="509" ht="15.75" customHeight="1">
      <c r="A509" s="32"/>
      <c r="B509" s="9"/>
      <c r="C509" s="110"/>
      <c r="D509" s="134"/>
      <c r="E509" s="135"/>
      <c r="F509" s="9"/>
      <c r="G509" s="9"/>
      <c r="H509" s="9"/>
      <c r="I509" s="9"/>
      <c r="J509" s="9"/>
      <c r="K509" s="9"/>
      <c r="L509" s="9"/>
      <c r="M509" s="9"/>
      <c r="N509" s="9"/>
      <c r="O509" s="9"/>
      <c r="P509" s="9"/>
      <c r="Q509" s="9"/>
      <c r="R509" s="9"/>
      <c r="S509" s="9"/>
      <c r="T509" s="9"/>
      <c r="U509" s="9"/>
      <c r="V509" s="9"/>
      <c r="W509" s="9"/>
      <c r="X509" s="9"/>
      <c r="Y509" s="9"/>
      <c r="Z509" s="9"/>
    </row>
    <row r="510" ht="15.75" customHeight="1">
      <c r="A510" s="32"/>
      <c r="B510" s="9"/>
      <c r="C510" s="110"/>
      <c r="D510" s="134"/>
      <c r="E510" s="135"/>
      <c r="F510" s="9"/>
      <c r="G510" s="9"/>
      <c r="H510" s="9"/>
      <c r="I510" s="9"/>
      <c r="J510" s="9"/>
      <c r="K510" s="9"/>
      <c r="L510" s="9"/>
      <c r="M510" s="9"/>
      <c r="N510" s="9"/>
      <c r="O510" s="9"/>
      <c r="P510" s="9"/>
      <c r="Q510" s="9"/>
      <c r="R510" s="9"/>
      <c r="S510" s="9"/>
      <c r="T510" s="9"/>
      <c r="U510" s="9"/>
      <c r="V510" s="9"/>
      <c r="W510" s="9"/>
      <c r="X510" s="9"/>
      <c r="Y510" s="9"/>
      <c r="Z510" s="9"/>
    </row>
    <row r="511" ht="15.75" customHeight="1">
      <c r="A511" s="32"/>
      <c r="B511" s="9"/>
      <c r="C511" s="110"/>
      <c r="D511" s="134"/>
      <c r="E511" s="135"/>
      <c r="F511" s="9"/>
      <c r="G511" s="9"/>
      <c r="H511" s="9"/>
      <c r="I511" s="9"/>
      <c r="J511" s="9"/>
      <c r="K511" s="9"/>
      <c r="L511" s="9"/>
      <c r="M511" s="9"/>
      <c r="N511" s="9"/>
      <c r="O511" s="9"/>
      <c r="P511" s="9"/>
      <c r="Q511" s="9"/>
      <c r="R511" s="9"/>
      <c r="S511" s="9"/>
      <c r="T511" s="9"/>
      <c r="U511" s="9"/>
      <c r="V511" s="9"/>
      <c r="W511" s="9"/>
      <c r="X511" s="9"/>
      <c r="Y511" s="9"/>
      <c r="Z511" s="9"/>
    </row>
    <row r="512" ht="15.75" customHeight="1">
      <c r="A512" s="32"/>
      <c r="B512" s="9"/>
      <c r="C512" s="110"/>
      <c r="D512" s="134"/>
      <c r="E512" s="135"/>
      <c r="F512" s="9"/>
      <c r="G512" s="9"/>
      <c r="H512" s="9"/>
      <c r="I512" s="9"/>
      <c r="J512" s="9"/>
      <c r="K512" s="9"/>
      <c r="L512" s="9"/>
      <c r="M512" s="9"/>
      <c r="N512" s="9"/>
      <c r="O512" s="9"/>
      <c r="P512" s="9"/>
      <c r="Q512" s="9"/>
      <c r="R512" s="9"/>
      <c r="S512" s="9"/>
      <c r="T512" s="9"/>
      <c r="U512" s="9"/>
      <c r="V512" s="9"/>
      <c r="W512" s="9"/>
      <c r="X512" s="9"/>
      <c r="Y512" s="9"/>
      <c r="Z512" s="9"/>
    </row>
    <row r="513" ht="15.75" customHeight="1">
      <c r="A513" s="32"/>
      <c r="B513" s="9"/>
      <c r="C513" s="110"/>
      <c r="D513" s="134"/>
      <c r="E513" s="135"/>
      <c r="F513" s="9"/>
      <c r="G513" s="9"/>
      <c r="H513" s="9"/>
      <c r="I513" s="9"/>
      <c r="J513" s="9"/>
      <c r="K513" s="9"/>
      <c r="L513" s="9"/>
      <c r="M513" s="9"/>
      <c r="N513" s="9"/>
      <c r="O513" s="9"/>
      <c r="P513" s="9"/>
      <c r="Q513" s="9"/>
      <c r="R513" s="9"/>
      <c r="S513" s="9"/>
      <c r="T513" s="9"/>
      <c r="U513" s="9"/>
      <c r="V513" s="9"/>
      <c r="W513" s="9"/>
      <c r="X513" s="9"/>
      <c r="Y513" s="9"/>
      <c r="Z513" s="9"/>
    </row>
    <row r="514" ht="15.75" customHeight="1">
      <c r="A514" s="32"/>
      <c r="B514" s="9"/>
      <c r="C514" s="110"/>
      <c r="D514" s="134"/>
      <c r="E514" s="135"/>
      <c r="F514" s="9"/>
      <c r="G514" s="9"/>
      <c r="H514" s="9"/>
      <c r="I514" s="9"/>
      <c r="J514" s="9"/>
      <c r="K514" s="9"/>
      <c r="L514" s="9"/>
      <c r="M514" s="9"/>
      <c r="N514" s="9"/>
      <c r="O514" s="9"/>
      <c r="P514" s="9"/>
      <c r="Q514" s="9"/>
      <c r="R514" s="9"/>
      <c r="S514" s="9"/>
      <c r="T514" s="9"/>
      <c r="U514" s="9"/>
      <c r="V514" s="9"/>
      <c r="W514" s="9"/>
      <c r="X514" s="9"/>
      <c r="Y514" s="9"/>
      <c r="Z514" s="9"/>
    </row>
    <row r="515" ht="15.75" customHeight="1">
      <c r="A515" s="32"/>
      <c r="B515" s="9"/>
      <c r="C515" s="110"/>
      <c r="D515" s="134"/>
      <c r="E515" s="135"/>
      <c r="F515" s="9"/>
      <c r="G515" s="9"/>
      <c r="H515" s="9"/>
      <c r="I515" s="9"/>
      <c r="J515" s="9"/>
      <c r="K515" s="9"/>
      <c r="L515" s="9"/>
      <c r="M515" s="9"/>
      <c r="N515" s="9"/>
      <c r="O515" s="9"/>
      <c r="P515" s="9"/>
      <c r="Q515" s="9"/>
      <c r="R515" s="9"/>
      <c r="S515" s="9"/>
      <c r="T515" s="9"/>
      <c r="U515" s="9"/>
      <c r="V515" s="9"/>
      <c r="W515" s="9"/>
      <c r="X515" s="9"/>
      <c r="Y515" s="9"/>
      <c r="Z515" s="9"/>
    </row>
    <row r="516" ht="15.75" customHeight="1">
      <c r="A516" s="32"/>
      <c r="B516" s="9"/>
      <c r="C516" s="110"/>
      <c r="D516" s="134"/>
      <c r="E516" s="135"/>
      <c r="F516" s="9"/>
      <c r="G516" s="9"/>
      <c r="H516" s="9"/>
      <c r="I516" s="9"/>
      <c r="J516" s="9"/>
      <c r="K516" s="9"/>
      <c r="L516" s="9"/>
      <c r="M516" s="9"/>
      <c r="N516" s="9"/>
      <c r="O516" s="9"/>
      <c r="P516" s="9"/>
      <c r="Q516" s="9"/>
      <c r="R516" s="9"/>
      <c r="S516" s="9"/>
      <c r="T516" s="9"/>
      <c r="U516" s="9"/>
      <c r="V516" s="9"/>
      <c r="W516" s="9"/>
      <c r="X516" s="9"/>
      <c r="Y516" s="9"/>
      <c r="Z516" s="9"/>
    </row>
    <row r="517" ht="15.75" customHeight="1">
      <c r="A517" s="32"/>
      <c r="B517" s="9"/>
      <c r="C517" s="110"/>
      <c r="D517" s="134"/>
      <c r="E517" s="135"/>
      <c r="F517" s="9"/>
      <c r="G517" s="9"/>
      <c r="H517" s="9"/>
      <c r="I517" s="9"/>
      <c r="J517" s="9"/>
      <c r="K517" s="9"/>
      <c r="L517" s="9"/>
      <c r="M517" s="9"/>
      <c r="N517" s="9"/>
      <c r="O517" s="9"/>
      <c r="P517" s="9"/>
      <c r="Q517" s="9"/>
      <c r="R517" s="9"/>
      <c r="S517" s="9"/>
      <c r="T517" s="9"/>
      <c r="U517" s="9"/>
      <c r="V517" s="9"/>
      <c r="W517" s="9"/>
      <c r="X517" s="9"/>
      <c r="Y517" s="9"/>
      <c r="Z517" s="9"/>
    </row>
    <row r="518" ht="15.75" customHeight="1">
      <c r="A518" s="32"/>
      <c r="B518" s="9"/>
      <c r="C518" s="110"/>
      <c r="D518" s="134"/>
      <c r="E518" s="135"/>
      <c r="F518" s="9"/>
      <c r="G518" s="9"/>
      <c r="H518" s="9"/>
      <c r="I518" s="9"/>
      <c r="J518" s="9"/>
      <c r="K518" s="9"/>
      <c r="L518" s="9"/>
      <c r="M518" s="9"/>
      <c r="N518" s="9"/>
      <c r="O518" s="9"/>
      <c r="P518" s="9"/>
      <c r="Q518" s="9"/>
      <c r="R518" s="9"/>
      <c r="S518" s="9"/>
      <c r="T518" s="9"/>
      <c r="U518" s="9"/>
      <c r="V518" s="9"/>
      <c r="W518" s="9"/>
      <c r="X518" s="9"/>
      <c r="Y518" s="9"/>
      <c r="Z518" s="9"/>
    </row>
    <row r="519" ht="15.75" customHeight="1">
      <c r="A519" s="32"/>
      <c r="B519" s="9"/>
      <c r="C519" s="110"/>
      <c r="D519" s="134"/>
      <c r="E519" s="135"/>
      <c r="F519" s="9"/>
      <c r="G519" s="9"/>
      <c r="H519" s="9"/>
      <c r="I519" s="9"/>
      <c r="J519" s="9"/>
      <c r="K519" s="9"/>
      <c r="L519" s="9"/>
      <c r="M519" s="9"/>
      <c r="N519" s="9"/>
      <c r="O519" s="9"/>
      <c r="P519" s="9"/>
      <c r="Q519" s="9"/>
      <c r="R519" s="9"/>
      <c r="S519" s="9"/>
      <c r="T519" s="9"/>
      <c r="U519" s="9"/>
      <c r="V519" s="9"/>
      <c r="W519" s="9"/>
      <c r="X519" s="9"/>
      <c r="Y519" s="9"/>
      <c r="Z519" s="9"/>
    </row>
    <row r="520" ht="15.75" customHeight="1">
      <c r="A520" s="32"/>
      <c r="B520" s="9"/>
      <c r="C520" s="110"/>
      <c r="D520" s="134"/>
      <c r="E520" s="135"/>
      <c r="F520" s="9"/>
      <c r="G520" s="9"/>
      <c r="H520" s="9"/>
      <c r="I520" s="9"/>
      <c r="J520" s="9"/>
      <c r="K520" s="9"/>
      <c r="L520" s="9"/>
      <c r="M520" s="9"/>
      <c r="N520" s="9"/>
      <c r="O520" s="9"/>
      <c r="P520" s="9"/>
      <c r="Q520" s="9"/>
      <c r="R520" s="9"/>
      <c r="S520" s="9"/>
      <c r="T520" s="9"/>
      <c r="U520" s="9"/>
      <c r="V520" s="9"/>
      <c r="W520" s="9"/>
      <c r="X520" s="9"/>
      <c r="Y520" s="9"/>
      <c r="Z520" s="9"/>
    </row>
    <row r="521" ht="15.75" customHeight="1">
      <c r="A521" s="32"/>
      <c r="B521" s="9"/>
      <c r="C521" s="110"/>
      <c r="D521" s="134"/>
      <c r="E521" s="135"/>
      <c r="F521" s="9"/>
      <c r="G521" s="9"/>
      <c r="H521" s="9"/>
      <c r="I521" s="9"/>
      <c r="J521" s="9"/>
      <c r="K521" s="9"/>
      <c r="L521" s="9"/>
      <c r="M521" s="9"/>
      <c r="N521" s="9"/>
      <c r="O521" s="9"/>
      <c r="P521" s="9"/>
      <c r="Q521" s="9"/>
      <c r="R521" s="9"/>
      <c r="S521" s="9"/>
      <c r="T521" s="9"/>
      <c r="U521" s="9"/>
      <c r="V521" s="9"/>
      <c r="W521" s="9"/>
      <c r="X521" s="9"/>
      <c r="Y521" s="9"/>
      <c r="Z521" s="9"/>
    </row>
    <row r="522" ht="15.75" customHeight="1">
      <c r="A522" s="32"/>
      <c r="B522" s="9"/>
      <c r="C522" s="110"/>
      <c r="D522" s="134"/>
      <c r="E522" s="135"/>
      <c r="F522" s="9"/>
      <c r="G522" s="9"/>
      <c r="H522" s="9"/>
      <c r="I522" s="9"/>
      <c r="J522" s="9"/>
      <c r="K522" s="9"/>
      <c r="L522" s="9"/>
      <c r="M522" s="9"/>
      <c r="N522" s="9"/>
      <c r="O522" s="9"/>
      <c r="P522" s="9"/>
      <c r="Q522" s="9"/>
      <c r="R522" s="9"/>
      <c r="S522" s="9"/>
      <c r="T522" s="9"/>
      <c r="U522" s="9"/>
      <c r="V522" s="9"/>
      <c r="W522" s="9"/>
      <c r="X522" s="9"/>
      <c r="Y522" s="9"/>
      <c r="Z522" s="9"/>
    </row>
    <row r="523" ht="15.75" customHeight="1">
      <c r="A523" s="32"/>
      <c r="B523" s="9"/>
      <c r="C523" s="110"/>
      <c r="D523" s="134"/>
      <c r="E523" s="135"/>
      <c r="F523" s="9"/>
      <c r="G523" s="9"/>
      <c r="H523" s="9"/>
      <c r="I523" s="9"/>
      <c r="J523" s="9"/>
      <c r="K523" s="9"/>
      <c r="L523" s="9"/>
      <c r="M523" s="9"/>
      <c r="N523" s="9"/>
      <c r="O523" s="9"/>
      <c r="P523" s="9"/>
      <c r="Q523" s="9"/>
      <c r="R523" s="9"/>
      <c r="S523" s="9"/>
      <c r="T523" s="9"/>
      <c r="U523" s="9"/>
      <c r="V523" s="9"/>
      <c r="W523" s="9"/>
      <c r="X523" s="9"/>
      <c r="Y523" s="9"/>
      <c r="Z523" s="9"/>
    </row>
    <row r="524" ht="15.75" customHeight="1">
      <c r="A524" s="32"/>
      <c r="B524" s="9"/>
      <c r="C524" s="110"/>
      <c r="D524" s="134"/>
      <c r="E524" s="135"/>
      <c r="F524" s="9"/>
      <c r="G524" s="9"/>
      <c r="H524" s="9"/>
      <c r="I524" s="9"/>
      <c r="J524" s="9"/>
      <c r="K524" s="9"/>
      <c r="L524" s="9"/>
      <c r="M524" s="9"/>
      <c r="N524" s="9"/>
      <c r="O524" s="9"/>
      <c r="P524" s="9"/>
      <c r="Q524" s="9"/>
      <c r="R524" s="9"/>
      <c r="S524" s="9"/>
      <c r="T524" s="9"/>
      <c r="U524" s="9"/>
      <c r="V524" s="9"/>
      <c r="W524" s="9"/>
      <c r="X524" s="9"/>
      <c r="Y524" s="9"/>
      <c r="Z524" s="9"/>
    </row>
    <row r="525" ht="15.75" customHeight="1">
      <c r="A525" s="32"/>
      <c r="B525" s="9"/>
      <c r="C525" s="110"/>
      <c r="D525" s="134"/>
      <c r="E525" s="135"/>
      <c r="F525" s="9"/>
      <c r="G525" s="9"/>
      <c r="H525" s="9"/>
      <c r="I525" s="9"/>
      <c r="J525" s="9"/>
      <c r="K525" s="9"/>
      <c r="L525" s="9"/>
      <c r="M525" s="9"/>
      <c r="N525" s="9"/>
      <c r="O525" s="9"/>
      <c r="P525" s="9"/>
      <c r="Q525" s="9"/>
      <c r="R525" s="9"/>
      <c r="S525" s="9"/>
      <c r="T525" s="9"/>
      <c r="U525" s="9"/>
      <c r="V525" s="9"/>
      <c r="W525" s="9"/>
      <c r="X525" s="9"/>
      <c r="Y525" s="9"/>
      <c r="Z525" s="9"/>
    </row>
    <row r="526" ht="15.75" customHeight="1">
      <c r="A526" s="32"/>
      <c r="B526" s="9"/>
      <c r="C526" s="110"/>
      <c r="D526" s="134"/>
      <c r="E526" s="135"/>
      <c r="F526" s="9"/>
      <c r="G526" s="9"/>
      <c r="H526" s="9"/>
      <c r="I526" s="9"/>
      <c r="J526" s="9"/>
      <c r="K526" s="9"/>
      <c r="L526" s="9"/>
      <c r="M526" s="9"/>
      <c r="N526" s="9"/>
      <c r="O526" s="9"/>
      <c r="P526" s="9"/>
      <c r="Q526" s="9"/>
      <c r="R526" s="9"/>
      <c r="S526" s="9"/>
      <c r="T526" s="9"/>
      <c r="U526" s="9"/>
      <c r="V526" s="9"/>
      <c r="W526" s="9"/>
      <c r="X526" s="9"/>
      <c r="Y526" s="9"/>
      <c r="Z526" s="9"/>
    </row>
    <row r="527" ht="15.75" customHeight="1">
      <c r="A527" s="32"/>
      <c r="B527" s="9"/>
      <c r="C527" s="110"/>
      <c r="D527" s="134"/>
      <c r="E527" s="135"/>
      <c r="F527" s="9"/>
      <c r="G527" s="9"/>
      <c r="H527" s="9"/>
      <c r="I527" s="9"/>
      <c r="J527" s="9"/>
      <c r="K527" s="9"/>
      <c r="L527" s="9"/>
      <c r="M527" s="9"/>
      <c r="N527" s="9"/>
      <c r="O527" s="9"/>
      <c r="P527" s="9"/>
      <c r="Q527" s="9"/>
      <c r="R527" s="9"/>
      <c r="S527" s="9"/>
      <c r="T527" s="9"/>
      <c r="U527" s="9"/>
      <c r="V527" s="9"/>
      <c r="W527" s="9"/>
      <c r="X527" s="9"/>
      <c r="Y527" s="9"/>
      <c r="Z527" s="9"/>
    </row>
    <row r="528" ht="15.75" customHeight="1">
      <c r="A528" s="32"/>
      <c r="B528" s="9"/>
      <c r="C528" s="110"/>
      <c r="D528" s="134"/>
      <c r="E528" s="135"/>
      <c r="F528" s="9"/>
      <c r="G528" s="9"/>
      <c r="H528" s="9"/>
      <c r="I528" s="9"/>
      <c r="J528" s="9"/>
      <c r="K528" s="9"/>
      <c r="L528" s="9"/>
      <c r="M528" s="9"/>
      <c r="N528" s="9"/>
      <c r="O528" s="9"/>
      <c r="P528" s="9"/>
      <c r="Q528" s="9"/>
      <c r="R528" s="9"/>
      <c r="S528" s="9"/>
      <c r="T528" s="9"/>
      <c r="U528" s="9"/>
      <c r="V528" s="9"/>
      <c r="W528" s="9"/>
      <c r="X528" s="9"/>
      <c r="Y528" s="9"/>
      <c r="Z528" s="9"/>
    </row>
    <row r="529" ht="15.75" customHeight="1">
      <c r="A529" s="32"/>
      <c r="B529" s="9"/>
      <c r="C529" s="110"/>
      <c r="D529" s="134"/>
      <c r="E529" s="135"/>
      <c r="F529" s="9"/>
      <c r="G529" s="9"/>
      <c r="H529" s="9"/>
      <c r="I529" s="9"/>
      <c r="J529" s="9"/>
      <c r="K529" s="9"/>
      <c r="L529" s="9"/>
      <c r="M529" s="9"/>
      <c r="N529" s="9"/>
      <c r="O529" s="9"/>
      <c r="P529" s="9"/>
      <c r="Q529" s="9"/>
      <c r="R529" s="9"/>
      <c r="S529" s="9"/>
      <c r="T529" s="9"/>
      <c r="U529" s="9"/>
      <c r="V529" s="9"/>
      <c r="W529" s="9"/>
      <c r="X529" s="9"/>
      <c r="Y529" s="9"/>
      <c r="Z529" s="9"/>
    </row>
    <row r="530" ht="15.75" customHeight="1">
      <c r="A530" s="32"/>
      <c r="B530" s="9"/>
      <c r="C530" s="110"/>
      <c r="D530" s="134"/>
      <c r="E530" s="135"/>
      <c r="F530" s="9"/>
      <c r="G530" s="9"/>
      <c r="H530" s="9"/>
      <c r="I530" s="9"/>
      <c r="J530" s="9"/>
      <c r="K530" s="9"/>
      <c r="L530" s="9"/>
      <c r="M530" s="9"/>
      <c r="N530" s="9"/>
      <c r="O530" s="9"/>
      <c r="P530" s="9"/>
      <c r="Q530" s="9"/>
      <c r="R530" s="9"/>
      <c r="S530" s="9"/>
      <c r="T530" s="9"/>
      <c r="U530" s="9"/>
      <c r="V530" s="9"/>
      <c r="W530" s="9"/>
      <c r="X530" s="9"/>
      <c r="Y530" s="9"/>
      <c r="Z530" s="9"/>
    </row>
    <row r="531" ht="15.75" customHeight="1">
      <c r="A531" s="32"/>
      <c r="B531" s="9"/>
      <c r="C531" s="110"/>
      <c r="D531" s="134"/>
      <c r="E531" s="135"/>
      <c r="F531" s="9"/>
      <c r="G531" s="9"/>
      <c r="H531" s="9"/>
      <c r="I531" s="9"/>
      <c r="J531" s="9"/>
      <c r="K531" s="9"/>
      <c r="L531" s="9"/>
      <c r="M531" s="9"/>
      <c r="N531" s="9"/>
      <c r="O531" s="9"/>
      <c r="P531" s="9"/>
      <c r="Q531" s="9"/>
      <c r="R531" s="9"/>
      <c r="S531" s="9"/>
      <c r="T531" s="9"/>
      <c r="U531" s="9"/>
      <c r="V531" s="9"/>
      <c r="W531" s="9"/>
      <c r="X531" s="9"/>
      <c r="Y531" s="9"/>
      <c r="Z531" s="9"/>
    </row>
    <row r="532" ht="15.75" customHeight="1">
      <c r="A532" s="32"/>
      <c r="B532" s="9"/>
      <c r="C532" s="110"/>
      <c r="D532" s="134"/>
      <c r="E532" s="135"/>
      <c r="F532" s="9"/>
      <c r="G532" s="9"/>
      <c r="H532" s="9"/>
      <c r="I532" s="9"/>
      <c r="J532" s="9"/>
      <c r="K532" s="9"/>
      <c r="L532" s="9"/>
      <c r="M532" s="9"/>
      <c r="N532" s="9"/>
      <c r="O532" s="9"/>
      <c r="P532" s="9"/>
      <c r="Q532" s="9"/>
      <c r="R532" s="9"/>
      <c r="S532" s="9"/>
      <c r="T532" s="9"/>
      <c r="U532" s="9"/>
      <c r="V532" s="9"/>
      <c r="W532" s="9"/>
      <c r="X532" s="9"/>
      <c r="Y532" s="9"/>
      <c r="Z532" s="9"/>
    </row>
    <row r="533" ht="15.75" customHeight="1">
      <c r="A533" s="32"/>
      <c r="B533" s="9"/>
      <c r="C533" s="110"/>
      <c r="D533" s="134"/>
      <c r="E533" s="135"/>
      <c r="F533" s="9"/>
      <c r="G533" s="9"/>
      <c r="H533" s="9"/>
      <c r="I533" s="9"/>
      <c r="J533" s="9"/>
      <c r="K533" s="9"/>
      <c r="L533" s="9"/>
      <c r="M533" s="9"/>
      <c r="N533" s="9"/>
      <c r="O533" s="9"/>
      <c r="P533" s="9"/>
      <c r="Q533" s="9"/>
      <c r="R533" s="9"/>
      <c r="S533" s="9"/>
      <c r="T533" s="9"/>
      <c r="U533" s="9"/>
      <c r="V533" s="9"/>
      <c r="W533" s="9"/>
      <c r="X533" s="9"/>
      <c r="Y533" s="9"/>
      <c r="Z533" s="9"/>
    </row>
    <row r="534" ht="15.75" customHeight="1">
      <c r="A534" s="32"/>
      <c r="B534" s="9"/>
      <c r="C534" s="110"/>
      <c r="D534" s="134"/>
      <c r="E534" s="135"/>
      <c r="F534" s="9"/>
      <c r="G534" s="9"/>
      <c r="H534" s="9"/>
      <c r="I534" s="9"/>
      <c r="J534" s="9"/>
      <c r="K534" s="9"/>
      <c r="L534" s="9"/>
      <c r="M534" s="9"/>
      <c r="N534" s="9"/>
      <c r="O534" s="9"/>
      <c r="P534" s="9"/>
      <c r="Q534" s="9"/>
      <c r="R534" s="9"/>
      <c r="S534" s="9"/>
      <c r="T534" s="9"/>
      <c r="U534" s="9"/>
      <c r="V534" s="9"/>
      <c r="W534" s="9"/>
      <c r="X534" s="9"/>
      <c r="Y534" s="9"/>
      <c r="Z534" s="9"/>
    </row>
    <row r="535" ht="15.75" customHeight="1">
      <c r="A535" s="32"/>
      <c r="B535" s="9"/>
      <c r="C535" s="110"/>
      <c r="D535" s="134"/>
      <c r="E535" s="135"/>
      <c r="F535" s="9"/>
      <c r="G535" s="9"/>
      <c r="H535" s="9"/>
      <c r="I535" s="9"/>
      <c r="J535" s="9"/>
      <c r="K535" s="9"/>
      <c r="L535" s="9"/>
      <c r="M535" s="9"/>
      <c r="N535" s="9"/>
      <c r="O535" s="9"/>
      <c r="P535" s="9"/>
      <c r="Q535" s="9"/>
      <c r="R535" s="9"/>
      <c r="S535" s="9"/>
      <c r="T535" s="9"/>
      <c r="U535" s="9"/>
      <c r="V535" s="9"/>
      <c r="W535" s="9"/>
      <c r="X535" s="9"/>
      <c r="Y535" s="9"/>
      <c r="Z535" s="9"/>
    </row>
    <row r="536" ht="15.75" customHeight="1">
      <c r="A536" s="32"/>
      <c r="B536" s="9"/>
      <c r="C536" s="110"/>
      <c r="D536" s="134"/>
      <c r="E536" s="135"/>
      <c r="F536" s="9"/>
      <c r="G536" s="9"/>
      <c r="H536" s="9"/>
      <c r="I536" s="9"/>
      <c r="J536" s="9"/>
      <c r="K536" s="9"/>
      <c r="L536" s="9"/>
      <c r="M536" s="9"/>
      <c r="N536" s="9"/>
      <c r="O536" s="9"/>
      <c r="P536" s="9"/>
      <c r="Q536" s="9"/>
      <c r="R536" s="9"/>
      <c r="S536" s="9"/>
      <c r="T536" s="9"/>
      <c r="U536" s="9"/>
      <c r="V536" s="9"/>
      <c r="W536" s="9"/>
      <c r="X536" s="9"/>
      <c r="Y536" s="9"/>
      <c r="Z536" s="9"/>
    </row>
    <row r="537" ht="15.75" customHeight="1">
      <c r="A537" s="32"/>
      <c r="B537" s="9"/>
      <c r="C537" s="110"/>
      <c r="D537" s="134"/>
      <c r="E537" s="135"/>
      <c r="F537" s="9"/>
      <c r="G537" s="9"/>
      <c r="H537" s="9"/>
      <c r="I537" s="9"/>
      <c r="J537" s="9"/>
      <c r="K537" s="9"/>
      <c r="L537" s="9"/>
      <c r="M537" s="9"/>
      <c r="N537" s="9"/>
      <c r="O537" s="9"/>
      <c r="P537" s="9"/>
      <c r="Q537" s="9"/>
      <c r="R537" s="9"/>
      <c r="S537" s="9"/>
      <c r="T537" s="9"/>
      <c r="U537" s="9"/>
      <c r="V537" s="9"/>
      <c r="W537" s="9"/>
      <c r="X537" s="9"/>
      <c r="Y537" s="9"/>
      <c r="Z537" s="9"/>
    </row>
    <row r="538" ht="15.75" customHeight="1">
      <c r="A538" s="32"/>
      <c r="B538" s="9"/>
      <c r="C538" s="110"/>
      <c r="D538" s="134"/>
      <c r="E538" s="135"/>
      <c r="F538" s="9"/>
      <c r="G538" s="9"/>
      <c r="H538" s="9"/>
      <c r="I538" s="9"/>
      <c r="J538" s="9"/>
      <c r="K538" s="9"/>
      <c r="L538" s="9"/>
      <c r="M538" s="9"/>
      <c r="N538" s="9"/>
      <c r="O538" s="9"/>
      <c r="P538" s="9"/>
      <c r="Q538" s="9"/>
      <c r="R538" s="9"/>
      <c r="S538" s="9"/>
      <c r="T538" s="9"/>
      <c r="U538" s="9"/>
      <c r="V538" s="9"/>
      <c r="W538" s="9"/>
      <c r="X538" s="9"/>
      <c r="Y538" s="9"/>
      <c r="Z538" s="9"/>
    </row>
    <row r="539" ht="15.75" customHeight="1">
      <c r="A539" s="32"/>
      <c r="B539" s="9"/>
      <c r="C539" s="110"/>
      <c r="D539" s="134"/>
      <c r="E539" s="135"/>
      <c r="F539" s="9"/>
      <c r="G539" s="9"/>
      <c r="H539" s="9"/>
      <c r="I539" s="9"/>
      <c r="J539" s="9"/>
      <c r="K539" s="9"/>
      <c r="L539" s="9"/>
      <c r="M539" s="9"/>
      <c r="N539" s="9"/>
      <c r="O539" s="9"/>
      <c r="P539" s="9"/>
      <c r="Q539" s="9"/>
      <c r="R539" s="9"/>
      <c r="S539" s="9"/>
      <c r="T539" s="9"/>
      <c r="U539" s="9"/>
      <c r="V539" s="9"/>
      <c r="W539" s="9"/>
      <c r="X539" s="9"/>
      <c r="Y539" s="9"/>
      <c r="Z539" s="9"/>
    </row>
    <row r="540" ht="15.75" customHeight="1">
      <c r="A540" s="32"/>
      <c r="B540" s="9"/>
      <c r="C540" s="110"/>
      <c r="D540" s="134"/>
      <c r="E540" s="135"/>
      <c r="F540" s="9"/>
      <c r="G540" s="9"/>
      <c r="H540" s="9"/>
      <c r="I540" s="9"/>
      <c r="J540" s="9"/>
      <c r="K540" s="9"/>
      <c r="L540" s="9"/>
      <c r="M540" s="9"/>
      <c r="N540" s="9"/>
      <c r="O540" s="9"/>
      <c r="P540" s="9"/>
      <c r="Q540" s="9"/>
      <c r="R540" s="9"/>
      <c r="S540" s="9"/>
      <c r="T540" s="9"/>
      <c r="U540" s="9"/>
      <c r="V540" s="9"/>
      <c r="W540" s="9"/>
      <c r="X540" s="9"/>
      <c r="Y540" s="9"/>
      <c r="Z540" s="9"/>
    </row>
    <row r="541" ht="15.75" customHeight="1">
      <c r="A541" s="32"/>
      <c r="B541" s="9"/>
      <c r="C541" s="110"/>
      <c r="D541" s="134"/>
      <c r="E541" s="135"/>
      <c r="F541" s="9"/>
      <c r="G541" s="9"/>
      <c r="H541" s="9"/>
      <c r="I541" s="9"/>
      <c r="J541" s="9"/>
      <c r="K541" s="9"/>
      <c r="L541" s="9"/>
      <c r="M541" s="9"/>
      <c r="N541" s="9"/>
      <c r="O541" s="9"/>
      <c r="P541" s="9"/>
      <c r="Q541" s="9"/>
      <c r="R541" s="9"/>
      <c r="S541" s="9"/>
      <c r="T541" s="9"/>
      <c r="U541" s="9"/>
      <c r="V541" s="9"/>
      <c r="W541" s="9"/>
      <c r="X541" s="9"/>
      <c r="Y541" s="9"/>
      <c r="Z541" s="9"/>
    </row>
    <row r="542" ht="15.75" customHeight="1">
      <c r="A542" s="32"/>
      <c r="B542" s="9"/>
      <c r="C542" s="110"/>
      <c r="D542" s="134"/>
      <c r="E542" s="135"/>
      <c r="F542" s="9"/>
      <c r="G542" s="9"/>
      <c r="H542" s="9"/>
      <c r="I542" s="9"/>
      <c r="J542" s="9"/>
      <c r="K542" s="9"/>
      <c r="L542" s="9"/>
      <c r="M542" s="9"/>
      <c r="N542" s="9"/>
      <c r="O542" s="9"/>
      <c r="P542" s="9"/>
      <c r="Q542" s="9"/>
      <c r="R542" s="9"/>
      <c r="S542" s="9"/>
      <c r="T542" s="9"/>
      <c r="U542" s="9"/>
      <c r="V542" s="9"/>
      <c r="W542" s="9"/>
      <c r="X542" s="9"/>
      <c r="Y542" s="9"/>
      <c r="Z542" s="9"/>
    </row>
    <row r="543" ht="15.75" customHeight="1">
      <c r="A543" s="32"/>
      <c r="B543" s="9"/>
      <c r="C543" s="110"/>
      <c r="D543" s="134"/>
      <c r="E543" s="135"/>
      <c r="F543" s="9"/>
      <c r="G543" s="9"/>
      <c r="H543" s="9"/>
      <c r="I543" s="9"/>
      <c r="J543" s="9"/>
      <c r="K543" s="9"/>
      <c r="L543" s="9"/>
      <c r="M543" s="9"/>
      <c r="N543" s="9"/>
      <c r="O543" s="9"/>
      <c r="P543" s="9"/>
      <c r="Q543" s="9"/>
      <c r="R543" s="9"/>
      <c r="S543" s="9"/>
      <c r="T543" s="9"/>
      <c r="U543" s="9"/>
      <c r="V543" s="9"/>
      <c r="W543" s="9"/>
      <c r="X543" s="9"/>
      <c r="Y543" s="9"/>
      <c r="Z543" s="9"/>
    </row>
    <row r="544" ht="15.75" customHeight="1">
      <c r="A544" s="32"/>
      <c r="B544" s="9"/>
      <c r="C544" s="110"/>
      <c r="D544" s="134"/>
      <c r="E544" s="135"/>
      <c r="F544" s="9"/>
      <c r="G544" s="9"/>
      <c r="H544" s="9"/>
      <c r="I544" s="9"/>
      <c r="J544" s="9"/>
      <c r="K544" s="9"/>
      <c r="L544" s="9"/>
      <c r="M544" s="9"/>
      <c r="N544" s="9"/>
      <c r="O544" s="9"/>
      <c r="P544" s="9"/>
      <c r="Q544" s="9"/>
      <c r="R544" s="9"/>
      <c r="S544" s="9"/>
      <c r="T544" s="9"/>
      <c r="U544" s="9"/>
      <c r="V544" s="9"/>
      <c r="W544" s="9"/>
      <c r="X544" s="9"/>
      <c r="Y544" s="9"/>
      <c r="Z544" s="9"/>
    </row>
    <row r="545" ht="15.75" customHeight="1">
      <c r="A545" s="32"/>
      <c r="B545" s="9"/>
      <c r="C545" s="110"/>
      <c r="D545" s="134"/>
      <c r="E545" s="135"/>
      <c r="F545" s="9"/>
      <c r="G545" s="9"/>
      <c r="H545" s="9"/>
      <c r="I545" s="9"/>
      <c r="J545" s="9"/>
      <c r="K545" s="9"/>
      <c r="L545" s="9"/>
      <c r="M545" s="9"/>
      <c r="N545" s="9"/>
      <c r="O545" s="9"/>
      <c r="P545" s="9"/>
      <c r="Q545" s="9"/>
      <c r="R545" s="9"/>
      <c r="S545" s="9"/>
      <c r="T545" s="9"/>
      <c r="U545" s="9"/>
      <c r="V545" s="9"/>
      <c r="W545" s="9"/>
      <c r="X545" s="9"/>
      <c r="Y545" s="9"/>
      <c r="Z545" s="9"/>
    </row>
    <row r="546" ht="15.75" customHeight="1">
      <c r="A546" s="32"/>
      <c r="B546" s="9"/>
      <c r="C546" s="110"/>
      <c r="D546" s="134"/>
      <c r="E546" s="135"/>
      <c r="F546" s="9"/>
      <c r="G546" s="9"/>
      <c r="H546" s="9"/>
      <c r="I546" s="9"/>
      <c r="J546" s="9"/>
      <c r="K546" s="9"/>
      <c r="L546" s="9"/>
      <c r="M546" s="9"/>
      <c r="N546" s="9"/>
      <c r="O546" s="9"/>
      <c r="P546" s="9"/>
      <c r="Q546" s="9"/>
      <c r="R546" s="9"/>
      <c r="S546" s="9"/>
      <c r="T546" s="9"/>
      <c r="U546" s="9"/>
      <c r="V546" s="9"/>
      <c r="W546" s="9"/>
      <c r="X546" s="9"/>
      <c r="Y546" s="9"/>
      <c r="Z546" s="9"/>
    </row>
    <row r="547" ht="15.75" customHeight="1">
      <c r="A547" s="32"/>
      <c r="B547" s="9"/>
      <c r="C547" s="110"/>
      <c r="D547" s="134"/>
      <c r="E547" s="135"/>
      <c r="F547" s="9"/>
      <c r="G547" s="9"/>
      <c r="H547" s="9"/>
      <c r="I547" s="9"/>
      <c r="J547" s="9"/>
      <c r="K547" s="9"/>
      <c r="L547" s="9"/>
      <c r="M547" s="9"/>
      <c r="N547" s="9"/>
      <c r="O547" s="9"/>
      <c r="P547" s="9"/>
      <c r="Q547" s="9"/>
      <c r="R547" s="9"/>
      <c r="S547" s="9"/>
      <c r="T547" s="9"/>
      <c r="U547" s="9"/>
      <c r="V547" s="9"/>
      <c r="W547" s="9"/>
      <c r="X547" s="9"/>
      <c r="Y547" s="9"/>
      <c r="Z547" s="9"/>
    </row>
    <row r="548" ht="15.75" customHeight="1">
      <c r="A548" s="32"/>
      <c r="B548" s="9"/>
      <c r="C548" s="110"/>
      <c r="D548" s="134"/>
      <c r="E548" s="135"/>
      <c r="F548" s="9"/>
      <c r="G548" s="9"/>
      <c r="H548" s="9"/>
      <c r="I548" s="9"/>
      <c r="J548" s="9"/>
      <c r="K548" s="9"/>
      <c r="L548" s="9"/>
      <c r="M548" s="9"/>
      <c r="N548" s="9"/>
      <c r="O548" s="9"/>
      <c r="P548" s="9"/>
      <c r="Q548" s="9"/>
      <c r="R548" s="9"/>
      <c r="S548" s="9"/>
      <c r="T548" s="9"/>
      <c r="U548" s="9"/>
      <c r="V548" s="9"/>
      <c r="W548" s="9"/>
      <c r="X548" s="9"/>
      <c r="Y548" s="9"/>
      <c r="Z548" s="9"/>
    </row>
    <row r="549" ht="15.75" customHeight="1">
      <c r="A549" s="32"/>
      <c r="B549" s="9"/>
      <c r="C549" s="110"/>
      <c r="D549" s="134"/>
      <c r="E549" s="135"/>
      <c r="F549" s="9"/>
      <c r="G549" s="9"/>
      <c r="H549" s="9"/>
      <c r="I549" s="9"/>
      <c r="J549" s="9"/>
      <c r="K549" s="9"/>
      <c r="L549" s="9"/>
      <c r="M549" s="9"/>
      <c r="N549" s="9"/>
      <c r="O549" s="9"/>
      <c r="P549" s="9"/>
      <c r="Q549" s="9"/>
      <c r="R549" s="9"/>
      <c r="S549" s="9"/>
      <c r="T549" s="9"/>
      <c r="U549" s="9"/>
      <c r="V549" s="9"/>
      <c r="W549" s="9"/>
      <c r="X549" s="9"/>
      <c r="Y549" s="9"/>
      <c r="Z549" s="9"/>
    </row>
    <row r="550" ht="15.75" customHeight="1">
      <c r="A550" s="32"/>
      <c r="B550" s="9"/>
      <c r="C550" s="110"/>
      <c r="D550" s="134"/>
      <c r="E550" s="135"/>
      <c r="F550" s="9"/>
      <c r="G550" s="9"/>
      <c r="H550" s="9"/>
      <c r="I550" s="9"/>
      <c r="J550" s="9"/>
      <c r="K550" s="9"/>
      <c r="L550" s="9"/>
      <c r="M550" s="9"/>
      <c r="N550" s="9"/>
      <c r="O550" s="9"/>
      <c r="P550" s="9"/>
      <c r="Q550" s="9"/>
      <c r="R550" s="9"/>
      <c r="S550" s="9"/>
      <c r="T550" s="9"/>
      <c r="U550" s="9"/>
      <c r="V550" s="9"/>
      <c r="W550" s="9"/>
      <c r="X550" s="9"/>
      <c r="Y550" s="9"/>
      <c r="Z550" s="9"/>
    </row>
    <row r="551" ht="15.75" customHeight="1">
      <c r="A551" s="32"/>
      <c r="B551" s="9"/>
      <c r="C551" s="110"/>
      <c r="D551" s="134"/>
      <c r="E551" s="135"/>
      <c r="F551" s="9"/>
      <c r="G551" s="9"/>
      <c r="H551" s="9"/>
      <c r="I551" s="9"/>
      <c r="J551" s="9"/>
      <c r="K551" s="9"/>
      <c r="L551" s="9"/>
      <c r="M551" s="9"/>
      <c r="N551" s="9"/>
      <c r="O551" s="9"/>
      <c r="P551" s="9"/>
      <c r="Q551" s="9"/>
      <c r="R551" s="9"/>
      <c r="S551" s="9"/>
      <c r="T551" s="9"/>
      <c r="U551" s="9"/>
      <c r="V551" s="9"/>
      <c r="W551" s="9"/>
      <c r="X551" s="9"/>
      <c r="Y551" s="9"/>
      <c r="Z551" s="9"/>
    </row>
    <row r="552" ht="15.75" customHeight="1">
      <c r="A552" s="32"/>
      <c r="B552" s="9"/>
      <c r="C552" s="110"/>
      <c r="D552" s="134"/>
      <c r="E552" s="135"/>
      <c r="F552" s="9"/>
      <c r="G552" s="9"/>
      <c r="H552" s="9"/>
      <c r="I552" s="9"/>
      <c r="J552" s="9"/>
      <c r="K552" s="9"/>
      <c r="L552" s="9"/>
      <c r="M552" s="9"/>
      <c r="N552" s="9"/>
      <c r="O552" s="9"/>
      <c r="P552" s="9"/>
      <c r="Q552" s="9"/>
      <c r="R552" s="9"/>
      <c r="S552" s="9"/>
      <c r="T552" s="9"/>
      <c r="U552" s="9"/>
      <c r="V552" s="9"/>
      <c r="W552" s="9"/>
      <c r="X552" s="9"/>
      <c r="Y552" s="9"/>
      <c r="Z552" s="9"/>
    </row>
    <row r="553" ht="15.75" customHeight="1">
      <c r="A553" s="32"/>
      <c r="B553" s="9"/>
      <c r="C553" s="110"/>
      <c r="D553" s="134"/>
      <c r="E553" s="135"/>
      <c r="F553" s="9"/>
      <c r="G553" s="9"/>
      <c r="H553" s="9"/>
      <c r="I553" s="9"/>
      <c r="J553" s="9"/>
      <c r="K553" s="9"/>
      <c r="L553" s="9"/>
      <c r="M553" s="9"/>
      <c r="N553" s="9"/>
      <c r="O553" s="9"/>
      <c r="P553" s="9"/>
      <c r="Q553" s="9"/>
      <c r="R553" s="9"/>
      <c r="S553" s="9"/>
      <c r="T553" s="9"/>
      <c r="U553" s="9"/>
      <c r="V553" s="9"/>
      <c r="W553" s="9"/>
      <c r="X553" s="9"/>
      <c r="Y553" s="9"/>
      <c r="Z553" s="9"/>
    </row>
    <row r="554" ht="15.75" customHeight="1">
      <c r="A554" s="32"/>
      <c r="B554" s="9"/>
      <c r="C554" s="110"/>
      <c r="D554" s="134"/>
      <c r="E554" s="135"/>
      <c r="F554" s="9"/>
      <c r="G554" s="9"/>
      <c r="H554" s="9"/>
      <c r="I554" s="9"/>
      <c r="J554" s="9"/>
      <c r="K554" s="9"/>
      <c r="L554" s="9"/>
      <c r="M554" s="9"/>
      <c r="N554" s="9"/>
      <c r="O554" s="9"/>
      <c r="P554" s="9"/>
      <c r="Q554" s="9"/>
      <c r="R554" s="9"/>
      <c r="S554" s="9"/>
      <c r="T554" s="9"/>
      <c r="U554" s="9"/>
      <c r="V554" s="9"/>
      <c r="W554" s="9"/>
      <c r="X554" s="9"/>
      <c r="Y554" s="9"/>
      <c r="Z554" s="9"/>
    </row>
    <row r="555" ht="15.75" customHeight="1">
      <c r="A555" s="32"/>
      <c r="B555" s="9"/>
      <c r="C555" s="110"/>
      <c r="D555" s="134"/>
      <c r="E555" s="135"/>
      <c r="F555" s="9"/>
      <c r="G555" s="9"/>
      <c r="H555" s="9"/>
      <c r="I555" s="9"/>
      <c r="J555" s="9"/>
      <c r="K555" s="9"/>
      <c r="L555" s="9"/>
      <c r="M555" s="9"/>
      <c r="N555" s="9"/>
      <c r="O555" s="9"/>
      <c r="P555" s="9"/>
      <c r="Q555" s="9"/>
      <c r="R555" s="9"/>
      <c r="S555" s="9"/>
      <c r="T555" s="9"/>
      <c r="U555" s="9"/>
      <c r="V555" s="9"/>
      <c r="W555" s="9"/>
      <c r="X555" s="9"/>
      <c r="Y555" s="9"/>
      <c r="Z555" s="9"/>
    </row>
    <row r="556" ht="15.75" customHeight="1">
      <c r="A556" s="32"/>
      <c r="B556" s="9"/>
      <c r="C556" s="110"/>
      <c r="D556" s="134"/>
      <c r="E556" s="135"/>
      <c r="F556" s="9"/>
      <c r="G556" s="9"/>
      <c r="H556" s="9"/>
      <c r="I556" s="9"/>
      <c r="J556" s="9"/>
      <c r="K556" s="9"/>
      <c r="L556" s="9"/>
      <c r="M556" s="9"/>
      <c r="N556" s="9"/>
      <c r="O556" s="9"/>
      <c r="P556" s="9"/>
      <c r="Q556" s="9"/>
      <c r="R556" s="9"/>
      <c r="S556" s="9"/>
      <c r="T556" s="9"/>
      <c r="U556" s="9"/>
      <c r="V556" s="9"/>
      <c r="W556" s="9"/>
      <c r="X556" s="9"/>
      <c r="Y556" s="9"/>
      <c r="Z556" s="9"/>
    </row>
    <row r="557" ht="15.75" customHeight="1">
      <c r="A557" s="32"/>
      <c r="B557" s="9"/>
      <c r="C557" s="110"/>
      <c r="D557" s="134"/>
      <c r="E557" s="135"/>
      <c r="F557" s="9"/>
      <c r="G557" s="9"/>
      <c r="H557" s="9"/>
      <c r="I557" s="9"/>
      <c r="J557" s="9"/>
      <c r="K557" s="9"/>
      <c r="L557" s="9"/>
      <c r="M557" s="9"/>
      <c r="N557" s="9"/>
      <c r="O557" s="9"/>
      <c r="P557" s="9"/>
      <c r="Q557" s="9"/>
      <c r="R557" s="9"/>
      <c r="S557" s="9"/>
      <c r="T557" s="9"/>
      <c r="U557" s="9"/>
      <c r="V557" s="9"/>
      <c r="W557" s="9"/>
      <c r="X557" s="9"/>
      <c r="Y557" s="9"/>
      <c r="Z557" s="9"/>
    </row>
    <row r="558" ht="15.75" customHeight="1">
      <c r="A558" s="32"/>
      <c r="B558" s="9"/>
      <c r="C558" s="110"/>
      <c r="D558" s="134"/>
      <c r="E558" s="135"/>
      <c r="F558" s="9"/>
      <c r="G558" s="9"/>
      <c r="H558" s="9"/>
      <c r="I558" s="9"/>
      <c r="J558" s="9"/>
      <c r="K558" s="9"/>
      <c r="L558" s="9"/>
      <c r="M558" s="9"/>
      <c r="N558" s="9"/>
      <c r="O558" s="9"/>
      <c r="P558" s="9"/>
      <c r="Q558" s="9"/>
      <c r="R558" s="9"/>
      <c r="S558" s="9"/>
      <c r="T558" s="9"/>
      <c r="U558" s="9"/>
      <c r="V558" s="9"/>
      <c r="W558" s="9"/>
      <c r="X558" s="9"/>
      <c r="Y558" s="9"/>
      <c r="Z558" s="9"/>
    </row>
    <row r="559" ht="15.75" customHeight="1">
      <c r="A559" s="32"/>
      <c r="B559" s="9"/>
      <c r="C559" s="110"/>
      <c r="D559" s="134"/>
      <c r="E559" s="135"/>
      <c r="F559" s="9"/>
      <c r="G559" s="9"/>
      <c r="H559" s="9"/>
      <c r="I559" s="9"/>
      <c r="J559" s="9"/>
      <c r="K559" s="9"/>
      <c r="L559" s="9"/>
      <c r="M559" s="9"/>
      <c r="N559" s="9"/>
      <c r="O559" s="9"/>
      <c r="P559" s="9"/>
      <c r="Q559" s="9"/>
      <c r="R559" s="9"/>
      <c r="S559" s="9"/>
      <c r="T559" s="9"/>
      <c r="U559" s="9"/>
      <c r="V559" s="9"/>
      <c r="W559" s="9"/>
      <c r="X559" s="9"/>
      <c r="Y559" s="9"/>
      <c r="Z559" s="9"/>
    </row>
    <row r="560" ht="15.75" customHeight="1">
      <c r="A560" s="32"/>
      <c r="B560" s="9"/>
      <c r="C560" s="110"/>
      <c r="D560" s="134"/>
      <c r="E560" s="135"/>
      <c r="F560" s="9"/>
      <c r="G560" s="9"/>
      <c r="H560" s="9"/>
      <c r="I560" s="9"/>
      <c r="J560" s="9"/>
      <c r="K560" s="9"/>
      <c r="L560" s="9"/>
      <c r="M560" s="9"/>
      <c r="N560" s="9"/>
      <c r="O560" s="9"/>
      <c r="P560" s="9"/>
      <c r="Q560" s="9"/>
      <c r="R560" s="9"/>
      <c r="S560" s="9"/>
      <c r="T560" s="9"/>
      <c r="U560" s="9"/>
      <c r="V560" s="9"/>
      <c r="W560" s="9"/>
      <c r="X560" s="9"/>
      <c r="Y560" s="9"/>
      <c r="Z560" s="9"/>
    </row>
    <row r="561" ht="15.75" customHeight="1">
      <c r="A561" s="32"/>
      <c r="B561" s="9"/>
      <c r="C561" s="110"/>
      <c r="D561" s="134"/>
      <c r="E561" s="135"/>
      <c r="F561" s="9"/>
      <c r="G561" s="9"/>
      <c r="H561" s="9"/>
      <c r="I561" s="9"/>
      <c r="J561" s="9"/>
      <c r="K561" s="9"/>
      <c r="L561" s="9"/>
      <c r="M561" s="9"/>
      <c r="N561" s="9"/>
      <c r="O561" s="9"/>
      <c r="P561" s="9"/>
      <c r="Q561" s="9"/>
      <c r="R561" s="9"/>
      <c r="S561" s="9"/>
      <c r="T561" s="9"/>
      <c r="U561" s="9"/>
      <c r="V561" s="9"/>
      <c r="W561" s="9"/>
      <c r="X561" s="9"/>
      <c r="Y561" s="9"/>
      <c r="Z561" s="9"/>
    </row>
    <row r="562" ht="15.75" customHeight="1">
      <c r="A562" s="32"/>
      <c r="B562" s="9"/>
      <c r="C562" s="110"/>
      <c r="D562" s="134"/>
      <c r="E562" s="135"/>
      <c r="F562" s="9"/>
      <c r="G562" s="9"/>
      <c r="H562" s="9"/>
      <c r="I562" s="9"/>
      <c r="J562" s="9"/>
      <c r="K562" s="9"/>
      <c r="L562" s="9"/>
      <c r="M562" s="9"/>
      <c r="N562" s="9"/>
      <c r="O562" s="9"/>
      <c r="P562" s="9"/>
      <c r="Q562" s="9"/>
      <c r="R562" s="9"/>
      <c r="S562" s="9"/>
      <c r="T562" s="9"/>
      <c r="U562" s="9"/>
      <c r="V562" s="9"/>
      <c r="W562" s="9"/>
      <c r="X562" s="9"/>
      <c r="Y562" s="9"/>
      <c r="Z562" s="9"/>
    </row>
    <row r="563" ht="15.75" customHeight="1">
      <c r="A563" s="32"/>
      <c r="B563" s="9"/>
      <c r="C563" s="110"/>
      <c r="D563" s="134"/>
      <c r="E563" s="135"/>
      <c r="F563" s="9"/>
      <c r="G563" s="9"/>
      <c r="H563" s="9"/>
      <c r="I563" s="9"/>
      <c r="J563" s="9"/>
      <c r="K563" s="9"/>
      <c r="L563" s="9"/>
      <c r="M563" s="9"/>
      <c r="N563" s="9"/>
      <c r="O563" s="9"/>
      <c r="P563" s="9"/>
      <c r="Q563" s="9"/>
      <c r="R563" s="9"/>
      <c r="S563" s="9"/>
      <c r="T563" s="9"/>
      <c r="U563" s="9"/>
      <c r="V563" s="9"/>
      <c r="W563" s="9"/>
      <c r="X563" s="9"/>
      <c r="Y563" s="9"/>
      <c r="Z563" s="9"/>
    </row>
    <row r="564" ht="15.75" customHeight="1">
      <c r="A564" s="32"/>
      <c r="B564" s="9"/>
      <c r="C564" s="110"/>
      <c r="D564" s="134"/>
      <c r="E564" s="135"/>
      <c r="F564" s="9"/>
      <c r="G564" s="9"/>
      <c r="H564" s="9"/>
      <c r="I564" s="9"/>
      <c r="J564" s="9"/>
      <c r="K564" s="9"/>
      <c r="L564" s="9"/>
      <c r="M564" s="9"/>
      <c r="N564" s="9"/>
      <c r="O564" s="9"/>
      <c r="P564" s="9"/>
      <c r="Q564" s="9"/>
      <c r="R564" s="9"/>
      <c r="S564" s="9"/>
      <c r="T564" s="9"/>
      <c r="U564" s="9"/>
      <c r="V564" s="9"/>
      <c r="W564" s="9"/>
      <c r="X564" s="9"/>
      <c r="Y564" s="9"/>
      <c r="Z564" s="9"/>
    </row>
    <row r="565" ht="15.75" customHeight="1">
      <c r="A565" s="32"/>
      <c r="B565" s="9"/>
      <c r="C565" s="110"/>
      <c r="D565" s="134"/>
      <c r="E565" s="135"/>
      <c r="F565" s="9"/>
      <c r="G565" s="9"/>
      <c r="H565" s="9"/>
      <c r="I565" s="9"/>
      <c r="J565" s="9"/>
      <c r="K565" s="9"/>
      <c r="L565" s="9"/>
      <c r="M565" s="9"/>
      <c r="N565" s="9"/>
      <c r="O565" s="9"/>
      <c r="P565" s="9"/>
      <c r="Q565" s="9"/>
      <c r="R565" s="9"/>
      <c r="S565" s="9"/>
      <c r="T565" s="9"/>
      <c r="U565" s="9"/>
      <c r="V565" s="9"/>
      <c r="W565" s="9"/>
      <c r="X565" s="9"/>
      <c r="Y565" s="9"/>
      <c r="Z565" s="9"/>
    </row>
    <row r="566" ht="15.75" customHeight="1">
      <c r="A566" s="32"/>
      <c r="B566" s="9"/>
      <c r="C566" s="110"/>
      <c r="D566" s="134"/>
      <c r="E566" s="135"/>
      <c r="F566" s="9"/>
      <c r="G566" s="9"/>
      <c r="H566" s="9"/>
      <c r="I566" s="9"/>
      <c r="J566" s="9"/>
      <c r="K566" s="9"/>
      <c r="L566" s="9"/>
      <c r="M566" s="9"/>
      <c r="N566" s="9"/>
      <c r="O566" s="9"/>
      <c r="P566" s="9"/>
      <c r="Q566" s="9"/>
      <c r="R566" s="9"/>
      <c r="S566" s="9"/>
      <c r="T566" s="9"/>
      <c r="U566" s="9"/>
      <c r="V566" s="9"/>
      <c r="W566" s="9"/>
      <c r="X566" s="9"/>
      <c r="Y566" s="9"/>
      <c r="Z566" s="9"/>
    </row>
    <row r="567" ht="15.75" customHeight="1">
      <c r="A567" s="32"/>
      <c r="B567" s="9"/>
      <c r="C567" s="110"/>
      <c r="D567" s="134"/>
      <c r="E567" s="135"/>
      <c r="F567" s="9"/>
      <c r="G567" s="9"/>
      <c r="H567" s="9"/>
      <c r="I567" s="9"/>
      <c r="J567" s="9"/>
      <c r="K567" s="9"/>
      <c r="L567" s="9"/>
      <c r="M567" s="9"/>
      <c r="N567" s="9"/>
      <c r="O567" s="9"/>
      <c r="P567" s="9"/>
      <c r="Q567" s="9"/>
      <c r="R567" s="9"/>
      <c r="S567" s="9"/>
      <c r="T567" s="9"/>
      <c r="U567" s="9"/>
      <c r="V567" s="9"/>
      <c r="W567" s="9"/>
      <c r="X567" s="9"/>
      <c r="Y567" s="9"/>
      <c r="Z567" s="9"/>
    </row>
    <row r="568" ht="15.75" customHeight="1">
      <c r="A568" s="32"/>
      <c r="B568" s="9"/>
      <c r="C568" s="110"/>
      <c r="D568" s="134"/>
      <c r="E568" s="135"/>
      <c r="F568" s="9"/>
      <c r="G568" s="9"/>
      <c r="H568" s="9"/>
      <c r="I568" s="9"/>
      <c r="J568" s="9"/>
      <c r="K568" s="9"/>
      <c r="L568" s="9"/>
      <c r="M568" s="9"/>
      <c r="N568" s="9"/>
      <c r="O568" s="9"/>
      <c r="P568" s="9"/>
      <c r="Q568" s="9"/>
      <c r="R568" s="9"/>
      <c r="S568" s="9"/>
      <c r="T568" s="9"/>
      <c r="U568" s="9"/>
      <c r="V568" s="9"/>
      <c r="W568" s="9"/>
      <c r="X568" s="9"/>
      <c r="Y568" s="9"/>
      <c r="Z568" s="9"/>
    </row>
    <row r="569" ht="15.75" customHeight="1">
      <c r="A569" s="32"/>
      <c r="B569" s="9"/>
      <c r="C569" s="110"/>
      <c r="D569" s="134"/>
      <c r="E569" s="135"/>
      <c r="F569" s="9"/>
      <c r="G569" s="9"/>
      <c r="H569" s="9"/>
      <c r="I569" s="9"/>
      <c r="J569" s="9"/>
      <c r="K569" s="9"/>
      <c r="L569" s="9"/>
      <c r="M569" s="9"/>
      <c r="N569" s="9"/>
      <c r="O569" s="9"/>
      <c r="P569" s="9"/>
      <c r="Q569" s="9"/>
      <c r="R569" s="9"/>
      <c r="S569" s="9"/>
      <c r="T569" s="9"/>
      <c r="U569" s="9"/>
      <c r="V569" s="9"/>
      <c r="W569" s="9"/>
      <c r="X569" s="9"/>
      <c r="Y569" s="9"/>
      <c r="Z569" s="9"/>
    </row>
    <row r="570" ht="15.75" customHeight="1">
      <c r="A570" s="32"/>
      <c r="B570" s="9"/>
      <c r="C570" s="110"/>
      <c r="D570" s="134"/>
      <c r="E570" s="135"/>
      <c r="F570" s="9"/>
      <c r="G570" s="9"/>
      <c r="H570" s="9"/>
      <c r="I570" s="9"/>
      <c r="J570" s="9"/>
      <c r="K570" s="9"/>
      <c r="L570" s="9"/>
      <c r="M570" s="9"/>
      <c r="N570" s="9"/>
      <c r="O570" s="9"/>
      <c r="P570" s="9"/>
      <c r="Q570" s="9"/>
      <c r="R570" s="9"/>
      <c r="S570" s="9"/>
      <c r="T570" s="9"/>
      <c r="U570" s="9"/>
      <c r="V570" s="9"/>
      <c r="W570" s="9"/>
      <c r="X570" s="9"/>
      <c r="Y570" s="9"/>
      <c r="Z570" s="9"/>
    </row>
    <row r="571" ht="15.75" customHeight="1">
      <c r="A571" s="32"/>
      <c r="B571" s="9"/>
      <c r="C571" s="110"/>
      <c r="D571" s="134"/>
      <c r="E571" s="135"/>
      <c r="F571" s="9"/>
      <c r="G571" s="9"/>
      <c r="H571" s="9"/>
      <c r="I571" s="9"/>
      <c r="J571" s="9"/>
      <c r="K571" s="9"/>
      <c r="L571" s="9"/>
      <c r="M571" s="9"/>
      <c r="N571" s="9"/>
      <c r="O571" s="9"/>
      <c r="P571" s="9"/>
      <c r="Q571" s="9"/>
      <c r="R571" s="9"/>
      <c r="S571" s="9"/>
      <c r="T571" s="9"/>
      <c r="U571" s="9"/>
      <c r="V571" s="9"/>
      <c r="W571" s="9"/>
      <c r="X571" s="9"/>
      <c r="Y571" s="9"/>
      <c r="Z571" s="9"/>
    </row>
    <row r="572" ht="15.75" customHeight="1">
      <c r="A572" s="32"/>
      <c r="B572" s="9"/>
      <c r="C572" s="110"/>
      <c r="D572" s="134"/>
      <c r="E572" s="135"/>
      <c r="F572" s="9"/>
      <c r="G572" s="9"/>
      <c r="H572" s="9"/>
      <c r="I572" s="9"/>
      <c r="J572" s="9"/>
      <c r="K572" s="9"/>
      <c r="L572" s="9"/>
      <c r="M572" s="9"/>
      <c r="N572" s="9"/>
      <c r="O572" s="9"/>
      <c r="P572" s="9"/>
      <c r="Q572" s="9"/>
      <c r="R572" s="9"/>
      <c r="S572" s="9"/>
      <c r="T572" s="9"/>
      <c r="U572" s="9"/>
      <c r="V572" s="9"/>
      <c r="W572" s="9"/>
      <c r="X572" s="9"/>
      <c r="Y572" s="9"/>
      <c r="Z572" s="9"/>
    </row>
    <row r="573" ht="15.75" customHeight="1">
      <c r="A573" s="32"/>
      <c r="B573" s="9"/>
      <c r="C573" s="110"/>
      <c r="D573" s="134"/>
      <c r="E573" s="135"/>
      <c r="F573" s="9"/>
      <c r="G573" s="9"/>
      <c r="H573" s="9"/>
      <c r="I573" s="9"/>
      <c r="J573" s="9"/>
      <c r="K573" s="9"/>
      <c r="L573" s="9"/>
      <c r="M573" s="9"/>
      <c r="N573" s="9"/>
      <c r="O573" s="9"/>
      <c r="P573" s="9"/>
      <c r="Q573" s="9"/>
      <c r="R573" s="9"/>
      <c r="S573" s="9"/>
      <c r="T573" s="9"/>
      <c r="U573" s="9"/>
      <c r="V573" s="9"/>
      <c r="W573" s="9"/>
      <c r="X573" s="9"/>
      <c r="Y573" s="9"/>
      <c r="Z573" s="9"/>
    </row>
    <row r="574" ht="15.75" customHeight="1">
      <c r="A574" s="32"/>
      <c r="B574" s="9"/>
      <c r="C574" s="110"/>
      <c r="D574" s="134"/>
      <c r="E574" s="135"/>
      <c r="F574" s="9"/>
      <c r="G574" s="9"/>
      <c r="H574" s="9"/>
      <c r="I574" s="9"/>
      <c r="J574" s="9"/>
      <c r="K574" s="9"/>
      <c r="L574" s="9"/>
      <c r="M574" s="9"/>
      <c r="N574" s="9"/>
      <c r="O574" s="9"/>
      <c r="P574" s="9"/>
      <c r="Q574" s="9"/>
      <c r="R574" s="9"/>
      <c r="S574" s="9"/>
      <c r="T574" s="9"/>
      <c r="U574" s="9"/>
      <c r="V574" s="9"/>
      <c r="W574" s="9"/>
      <c r="X574" s="9"/>
      <c r="Y574" s="9"/>
      <c r="Z574" s="9"/>
    </row>
    <row r="575" ht="15.75" customHeight="1">
      <c r="A575" s="32"/>
      <c r="B575" s="9"/>
      <c r="C575" s="110"/>
      <c r="D575" s="134"/>
      <c r="E575" s="135"/>
      <c r="F575" s="9"/>
      <c r="G575" s="9"/>
      <c r="H575" s="9"/>
      <c r="I575" s="9"/>
      <c r="J575" s="9"/>
      <c r="K575" s="9"/>
      <c r="L575" s="9"/>
      <c r="M575" s="9"/>
      <c r="N575" s="9"/>
      <c r="O575" s="9"/>
      <c r="P575" s="9"/>
      <c r="Q575" s="9"/>
      <c r="R575" s="9"/>
      <c r="S575" s="9"/>
      <c r="T575" s="9"/>
      <c r="U575" s="9"/>
      <c r="V575" s="9"/>
      <c r="W575" s="9"/>
      <c r="X575" s="9"/>
      <c r="Y575" s="9"/>
      <c r="Z575" s="9"/>
    </row>
    <row r="576" ht="15.75" customHeight="1">
      <c r="A576" s="32"/>
      <c r="B576" s="9"/>
      <c r="C576" s="110"/>
      <c r="D576" s="134"/>
      <c r="E576" s="135"/>
      <c r="F576" s="9"/>
      <c r="G576" s="9"/>
      <c r="H576" s="9"/>
      <c r="I576" s="9"/>
      <c r="J576" s="9"/>
      <c r="K576" s="9"/>
      <c r="L576" s="9"/>
      <c r="M576" s="9"/>
      <c r="N576" s="9"/>
      <c r="O576" s="9"/>
      <c r="P576" s="9"/>
      <c r="Q576" s="9"/>
      <c r="R576" s="9"/>
      <c r="S576" s="9"/>
      <c r="T576" s="9"/>
      <c r="U576" s="9"/>
      <c r="V576" s="9"/>
      <c r="W576" s="9"/>
      <c r="X576" s="9"/>
      <c r="Y576" s="9"/>
      <c r="Z576" s="9"/>
    </row>
    <row r="577" ht="15.75" customHeight="1">
      <c r="A577" s="32"/>
      <c r="B577" s="9"/>
      <c r="C577" s="110"/>
      <c r="D577" s="134"/>
      <c r="E577" s="135"/>
      <c r="F577" s="9"/>
      <c r="G577" s="9"/>
      <c r="H577" s="9"/>
      <c r="I577" s="9"/>
      <c r="J577" s="9"/>
      <c r="K577" s="9"/>
      <c r="L577" s="9"/>
      <c r="M577" s="9"/>
      <c r="N577" s="9"/>
      <c r="O577" s="9"/>
      <c r="P577" s="9"/>
      <c r="Q577" s="9"/>
      <c r="R577" s="9"/>
      <c r="S577" s="9"/>
      <c r="T577" s="9"/>
      <c r="U577" s="9"/>
      <c r="V577" s="9"/>
      <c r="W577" s="9"/>
      <c r="X577" s="9"/>
      <c r="Y577" s="9"/>
      <c r="Z577" s="9"/>
    </row>
    <row r="578" ht="15.75" customHeight="1">
      <c r="A578" s="32"/>
      <c r="B578" s="9"/>
      <c r="C578" s="110"/>
      <c r="D578" s="134"/>
      <c r="E578" s="135"/>
      <c r="F578" s="9"/>
      <c r="G578" s="9"/>
      <c r="H578" s="9"/>
      <c r="I578" s="9"/>
      <c r="J578" s="9"/>
      <c r="K578" s="9"/>
      <c r="L578" s="9"/>
      <c r="M578" s="9"/>
      <c r="N578" s="9"/>
      <c r="O578" s="9"/>
      <c r="P578" s="9"/>
      <c r="Q578" s="9"/>
      <c r="R578" s="9"/>
      <c r="S578" s="9"/>
      <c r="T578" s="9"/>
      <c r="U578" s="9"/>
      <c r="V578" s="9"/>
      <c r="W578" s="9"/>
      <c r="X578" s="9"/>
      <c r="Y578" s="9"/>
      <c r="Z578" s="9"/>
    </row>
    <row r="579" ht="15.75" customHeight="1">
      <c r="A579" s="32"/>
      <c r="B579" s="9"/>
      <c r="C579" s="110"/>
      <c r="D579" s="134"/>
      <c r="E579" s="135"/>
      <c r="F579" s="9"/>
      <c r="G579" s="9"/>
      <c r="H579" s="9"/>
      <c r="I579" s="9"/>
      <c r="J579" s="9"/>
      <c r="K579" s="9"/>
      <c r="L579" s="9"/>
      <c r="M579" s="9"/>
      <c r="N579" s="9"/>
      <c r="O579" s="9"/>
      <c r="P579" s="9"/>
      <c r="Q579" s="9"/>
      <c r="R579" s="9"/>
      <c r="S579" s="9"/>
      <c r="T579" s="9"/>
      <c r="U579" s="9"/>
      <c r="V579" s="9"/>
      <c r="W579" s="9"/>
      <c r="X579" s="9"/>
      <c r="Y579" s="9"/>
      <c r="Z579" s="9"/>
    </row>
    <row r="580" ht="15.75" customHeight="1">
      <c r="A580" s="32"/>
      <c r="B580" s="9"/>
      <c r="C580" s="110"/>
      <c r="D580" s="134"/>
      <c r="E580" s="135"/>
      <c r="F580" s="9"/>
      <c r="G580" s="9"/>
      <c r="H580" s="9"/>
      <c r="I580" s="9"/>
      <c r="J580" s="9"/>
      <c r="K580" s="9"/>
      <c r="L580" s="9"/>
      <c r="M580" s="9"/>
      <c r="N580" s="9"/>
      <c r="O580" s="9"/>
      <c r="P580" s="9"/>
      <c r="Q580" s="9"/>
      <c r="R580" s="9"/>
      <c r="S580" s="9"/>
      <c r="T580" s="9"/>
      <c r="U580" s="9"/>
      <c r="V580" s="9"/>
      <c r="W580" s="9"/>
      <c r="X580" s="9"/>
      <c r="Y580" s="9"/>
      <c r="Z580" s="9"/>
    </row>
    <row r="581" ht="15.75" customHeight="1">
      <c r="A581" s="32"/>
      <c r="B581" s="9"/>
      <c r="C581" s="110"/>
      <c r="D581" s="134"/>
      <c r="E581" s="135"/>
      <c r="F581" s="9"/>
      <c r="G581" s="9"/>
      <c r="H581" s="9"/>
      <c r="I581" s="9"/>
      <c r="J581" s="9"/>
      <c r="K581" s="9"/>
      <c r="L581" s="9"/>
      <c r="M581" s="9"/>
      <c r="N581" s="9"/>
      <c r="O581" s="9"/>
      <c r="P581" s="9"/>
      <c r="Q581" s="9"/>
      <c r="R581" s="9"/>
      <c r="S581" s="9"/>
      <c r="T581" s="9"/>
      <c r="U581" s="9"/>
      <c r="V581" s="9"/>
      <c r="W581" s="9"/>
      <c r="X581" s="9"/>
      <c r="Y581" s="9"/>
      <c r="Z581" s="9"/>
    </row>
    <row r="582" ht="15.75" customHeight="1">
      <c r="A582" s="32"/>
      <c r="B582" s="9"/>
      <c r="C582" s="110"/>
      <c r="D582" s="134"/>
      <c r="E582" s="135"/>
      <c r="F582" s="9"/>
      <c r="G582" s="9"/>
      <c r="H582" s="9"/>
      <c r="I582" s="9"/>
      <c r="J582" s="9"/>
      <c r="K582" s="9"/>
      <c r="L582" s="9"/>
      <c r="M582" s="9"/>
      <c r="N582" s="9"/>
      <c r="O582" s="9"/>
      <c r="P582" s="9"/>
      <c r="Q582" s="9"/>
      <c r="R582" s="9"/>
      <c r="S582" s="9"/>
      <c r="T582" s="9"/>
      <c r="U582" s="9"/>
      <c r="V582" s="9"/>
      <c r="W582" s="9"/>
      <c r="X582" s="9"/>
      <c r="Y582" s="9"/>
      <c r="Z582" s="9"/>
    </row>
    <row r="583" ht="15.75" customHeight="1">
      <c r="A583" s="32"/>
      <c r="B583" s="9"/>
      <c r="C583" s="110"/>
      <c r="D583" s="134"/>
      <c r="E583" s="135"/>
      <c r="F583" s="9"/>
      <c r="G583" s="9"/>
      <c r="H583" s="9"/>
      <c r="I583" s="9"/>
      <c r="J583" s="9"/>
      <c r="K583" s="9"/>
      <c r="L583" s="9"/>
      <c r="M583" s="9"/>
      <c r="N583" s="9"/>
      <c r="O583" s="9"/>
      <c r="P583" s="9"/>
      <c r="Q583" s="9"/>
      <c r="R583" s="9"/>
      <c r="S583" s="9"/>
      <c r="T583" s="9"/>
      <c r="U583" s="9"/>
      <c r="V583" s="9"/>
      <c r="W583" s="9"/>
      <c r="X583" s="9"/>
      <c r="Y583" s="9"/>
      <c r="Z583" s="9"/>
    </row>
    <row r="584" ht="15.75" customHeight="1">
      <c r="A584" s="32"/>
      <c r="B584" s="9"/>
      <c r="C584" s="110"/>
      <c r="D584" s="134"/>
      <c r="E584" s="135"/>
      <c r="F584" s="9"/>
      <c r="G584" s="9"/>
      <c r="H584" s="9"/>
      <c r="I584" s="9"/>
      <c r="J584" s="9"/>
      <c r="K584" s="9"/>
      <c r="L584" s="9"/>
      <c r="M584" s="9"/>
      <c r="N584" s="9"/>
      <c r="O584" s="9"/>
      <c r="P584" s="9"/>
      <c r="Q584" s="9"/>
      <c r="R584" s="9"/>
      <c r="S584" s="9"/>
      <c r="T584" s="9"/>
      <c r="U584" s="9"/>
      <c r="V584" s="9"/>
      <c r="W584" s="9"/>
      <c r="X584" s="9"/>
      <c r="Y584" s="9"/>
      <c r="Z584" s="9"/>
    </row>
    <row r="585" ht="15.75" customHeight="1">
      <c r="A585" s="32"/>
      <c r="B585" s="9"/>
      <c r="C585" s="110"/>
      <c r="D585" s="134"/>
      <c r="E585" s="135"/>
      <c r="F585" s="9"/>
      <c r="G585" s="9"/>
      <c r="H585" s="9"/>
      <c r="I585" s="9"/>
      <c r="J585" s="9"/>
      <c r="K585" s="9"/>
      <c r="L585" s="9"/>
      <c r="M585" s="9"/>
      <c r="N585" s="9"/>
      <c r="O585" s="9"/>
      <c r="P585" s="9"/>
      <c r="Q585" s="9"/>
      <c r="R585" s="9"/>
      <c r="S585" s="9"/>
      <c r="T585" s="9"/>
      <c r="U585" s="9"/>
      <c r="V585" s="9"/>
      <c r="W585" s="9"/>
      <c r="X585" s="9"/>
      <c r="Y585" s="9"/>
      <c r="Z585" s="9"/>
    </row>
    <row r="586" ht="15.75" customHeight="1">
      <c r="A586" s="32"/>
      <c r="B586" s="9"/>
      <c r="C586" s="110"/>
      <c r="D586" s="134"/>
      <c r="E586" s="135"/>
      <c r="F586" s="9"/>
      <c r="G586" s="9"/>
      <c r="H586" s="9"/>
      <c r="I586" s="9"/>
      <c r="J586" s="9"/>
      <c r="K586" s="9"/>
      <c r="L586" s="9"/>
      <c r="M586" s="9"/>
      <c r="N586" s="9"/>
      <c r="O586" s="9"/>
      <c r="P586" s="9"/>
      <c r="Q586" s="9"/>
      <c r="R586" s="9"/>
      <c r="S586" s="9"/>
      <c r="T586" s="9"/>
      <c r="U586" s="9"/>
      <c r="V586" s="9"/>
      <c r="W586" s="9"/>
      <c r="X586" s="9"/>
      <c r="Y586" s="9"/>
      <c r="Z586" s="9"/>
    </row>
    <row r="587" ht="15.75" customHeight="1">
      <c r="A587" s="32"/>
      <c r="B587" s="9"/>
      <c r="C587" s="110"/>
      <c r="D587" s="134"/>
      <c r="E587" s="135"/>
      <c r="F587" s="9"/>
      <c r="G587" s="9"/>
      <c r="H587" s="9"/>
      <c r="I587" s="9"/>
      <c r="J587" s="9"/>
      <c r="K587" s="9"/>
      <c r="L587" s="9"/>
      <c r="M587" s="9"/>
      <c r="N587" s="9"/>
      <c r="O587" s="9"/>
      <c r="P587" s="9"/>
      <c r="Q587" s="9"/>
      <c r="R587" s="9"/>
      <c r="S587" s="9"/>
      <c r="T587" s="9"/>
      <c r="U587" s="9"/>
      <c r="V587" s="9"/>
      <c r="W587" s="9"/>
      <c r="X587" s="9"/>
      <c r="Y587" s="9"/>
      <c r="Z587" s="9"/>
    </row>
    <row r="588" ht="15.75" customHeight="1">
      <c r="A588" s="32"/>
      <c r="B588" s="9"/>
      <c r="C588" s="110"/>
      <c r="D588" s="134"/>
      <c r="E588" s="135"/>
      <c r="F588" s="9"/>
      <c r="G588" s="9"/>
      <c r="H588" s="9"/>
      <c r="I588" s="9"/>
      <c r="J588" s="9"/>
      <c r="K588" s="9"/>
      <c r="L588" s="9"/>
      <c r="M588" s="9"/>
      <c r="N588" s="9"/>
      <c r="O588" s="9"/>
      <c r="P588" s="9"/>
      <c r="Q588" s="9"/>
      <c r="R588" s="9"/>
      <c r="S588" s="9"/>
      <c r="T588" s="9"/>
      <c r="U588" s="9"/>
      <c r="V588" s="9"/>
      <c r="W588" s="9"/>
      <c r="X588" s="9"/>
      <c r="Y588" s="9"/>
      <c r="Z588" s="9"/>
    </row>
    <row r="589" ht="15.75" customHeight="1">
      <c r="A589" s="32"/>
      <c r="B589" s="9"/>
      <c r="C589" s="110"/>
      <c r="D589" s="134"/>
      <c r="E589" s="135"/>
      <c r="F589" s="9"/>
      <c r="G589" s="9"/>
      <c r="H589" s="9"/>
      <c r="I589" s="9"/>
      <c r="J589" s="9"/>
      <c r="K589" s="9"/>
      <c r="L589" s="9"/>
      <c r="M589" s="9"/>
      <c r="N589" s="9"/>
      <c r="O589" s="9"/>
      <c r="P589" s="9"/>
      <c r="Q589" s="9"/>
      <c r="R589" s="9"/>
      <c r="S589" s="9"/>
      <c r="T589" s="9"/>
      <c r="U589" s="9"/>
      <c r="V589" s="9"/>
      <c r="W589" s="9"/>
      <c r="X589" s="9"/>
      <c r="Y589" s="9"/>
      <c r="Z589" s="9"/>
    </row>
    <row r="590" ht="15.75" customHeight="1">
      <c r="A590" s="32"/>
      <c r="B590" s="9"/>
      <c r="C590" s="110"/>
      <c r="D590" s="134"/>
      <c r="E590" s="135"/>
      <c r="F590" s="9"/>
      <c r="G590" s="9"/>
      <c r="H590" s="9"/>
      <c r="I590" s="9"/>
      <c r="J590" s="9"/>
      <c r="K590" s="9"/>
      <c r="L590" s="9"/>
      <c r="M590" s="9"/>
      <c r="N590" s="9"/>
      <c r="O590" s="9"/>
      <c r="P590" s="9"/>
      <c r="Q590" s="9"/>
      <c r="R590" s="9"/>
      <c r="S590" s="9"/>
      <c r="T590" s="9"/>
      <c r="U590" s="9"/>
      <c r="V590" s="9"/>
      <c r="W590" s="9"/>
      <c r="X590" s="9"/>
      <c r="Y590" s="9"/>
      <c r="Z590" s="9"/>
    </row>
    <row r="591" ht="15.75" customHeight="1">
      <c r="A591" s="32"/>
      <c r="B591" s="9"/>
      <c r="C591" s="110"/>
      <c r="D591" s="134"/>
      <c r="E591" s="135"/>
      <c r="F591" s="9"/>
      <c r="G591" s="9"/>
      <c r="H591" s="9"/>
      <c r="I591" s="9"/>
      <c r="J591" s="9"/>
      <c r="K591" s="9"/>
      <c r="L591" s="9"/>
      <c r="M591" s="9"/>
      <c r="N591" s="9"/>
      <c r="O591" s="9"/>
      <c r="P591" s="9"/>
      <c r="Q591" s="9"/>
      <c r="R591" s="9"/>
      <c r="S591" s="9"/>
      <c r="T591" s="9"/>
      <c r="U591" s="9"/>
      <c r="V591" s="9"/>
      <c r="W591" s="9"/>
      <c r="X591" s="9"/>
      <c r="Y591" s="9"/>
      <c r="Z591" s="9"/>
    </row>
    <row r="592" ht="15.75" customHeight="1">
      <c r="A592" s="32"/>
      <c r="B592" s="9"/>
      <c r="C592" s="110"/>
      <c r="D592" s="134"/>
      <c r="E592" s="135"/>
      <c r="F592" s="9"/>
      <c r="G592" s="9"/>
      <c r="H592" s="9"/>
      <c r="I592" s="9"/>
      <c r="J592" s="9"/>
      <c r="K592" s="9"/>
      <c r="L592" s="9"/>
      <c r="M592" s="9"/>
      <c r="N592" s="9"/>
      <c r="O592" s="9"/>
      <c r="P592" s="9"/>
      <c r="Q592" s="9"/>
      <c r="R592" s="9"/>
      <c r="S592" s="9"/>
      <c r="T592" s="9"/>
      <c r="U592" s="9"/>
      <c r="V592" s="9"/>
      <c r="W592" s="9"/>
      <c r="X592" s="9"/>
      <c r="Y592" s="9"/>
      <c r="Z592" s="9"/>
    </row>
    <row r="593" ht="15.75" customHeight="1">
      <c r="A593" s="32"/>
      <c r="B593" s="9"/>
      <c r="C593" s="110"/>
      <c r="D593" s="134"/>
      <c r="E593" s="135"/>
      <c r="F593" s="9"/>
      <c r="G593" s="9"/>
      <c r="H593" s="9"/>
      <c r="I593" s="9"/>
      <c r="J593" s="9"/>
      <c r="K593" s="9"/>
      <c r="L593" s="9"/>
      <c r="M593" s="9"/>
      <c r="N593" s="9"/>
      <c r="O593" s="9"/>
      <c r="P593" s="9"/>
      <c r="Q593" s="9"/>
      <c r="R593" s="9"/>
      <c r="S593" s="9"/>
      <c r="T593" s="9"/>
      <c r="U593" s="9"/>
      <c r="V593" s="9"/>
      <c r="W593" s="9"/>
      <c r="X593" s="9"/>
      <c r="Y593" s="9"/>
      <c r="Z593" s="9"/>
    </row>
    <row r="594" ht="15.75" customHeight="1">
      <c r="A594" s="32"/>
      <c r="B594" s="9"/>
      <c r="C594" s="110"/>
      <c r="D594" s="134"/>
      <c r="E594" s="135"/>
      <c r="F594" s="9"/>
      <c r="G594" s="9"/>
      <c r="H594" s="9"/>
      <c r="I594" s="9"/>
      <c r="J594" s="9"/>
      <c r="K594" s="9"/>
      <c r="L594" s="9"/>
      <c r="M594" s="9"/>
      <c r="N594" s="9"/>
      <c r="O594" s="9"/>
      <c r="P594" s="9"/>
      <c r="Q594" s="9"/>
      <c r="R594" s="9"/>
      <c r="S594" s="9"/>
      <c r="T594" s="9"/>
      <c r="U594" s="9"/>
      <c r="V594" s="9"/>
      <c r="W594" s="9"/>
      <c r="X594" s="9"/>
      <c r="Y594" s="9"/>
      <c r="Z594" s="9"/>
    </row>
    <row r="595" ht="15.75" customHeight="1">
      <c r="A595" s="32"/>
      <c r="B595" s="9"/>
      <c r="C595" s="110"/>
      <c r="D595" s="134"/>
      <c r="E595" s="135"/>
      <c r="F595" s="9"/>
      <c r="G595" s="9"/>
      <c r="H595" s="9"/>
      <c r="I595" s="9"/>
      <c r="J595" s="9"/>
      <c r="K595" s="9"/>
      <c r="L595" s="9"/>
      <c r="M595" s="9"/>
      <c r="N595" s="9"/>
      <c r="O595" s="9"/>
      <c r="P595" s="9"/>
      <c r="Q595" s="9"/>
      <c r="R595" s="9"/>
      <c r="S595" s="9"/>
      <c r="T595" s="9"/>
      <c r="U595" s="9"/>
      <c r="V595" s="9"/>
      <c r="W595" s="9"/>
      <c r="X595" s="9"/>
      <c r="Y595" s="9"/>
      <c r="Z595" s="9"/>
    </row>
    <row r="596" ht="15.75" customHeight="1">
      <c r="A596" s="32"/>
      <c r="B596" s="9"/>
      <c r="C596" s="110"/>
      <c r="D596" s="134"/>
      <c r="E596" s="135"/>
      <c r="F596" s="9"/>
      <c r="G596" s="9"/>
      <c r="H596" s="9"/>
      <c r="I596" s="9"/>
      <c r="J596" s="9"/>
      <c r="K596" s="9"/>
      <c r="L596" s="9"/>
      <c r="M596" s="9"/>
      <c r="N596" s="9"/>
      <c r="O596" s="9"/>
      <c r="P596" s="9"/>
      <c r="Q596" s="9"/>
      <c r="R596" s="9"/>
      <c r="S596" s="9"/>
      <c r="T596" s="9"/>
      <c r="U596" s="9"/>
      <c r="V596" s="9"/>
      <c r="W596" s="9"/>
      <c r="X596" s="9"/>
      <c r="Y596" s="9"/>
      <c r="Z596" s="9"/>
    </row>
    <row r="597" ht="15.75" customHeight="1">
      <c r="A597" s="32"/>
      <c r="B597" s="9"/>
      <c r="C597" s="110"/>
      <c r="D597" s="134"/>
      <c r="E597" s="135"/>
      <c r="F597" s="9"/>
      <c r="G597" s="9"/>
      <c r="H597" s="9"/>
      <c r="I597" s="9"/>
      <c r="J597" s="9"/>
      <c r="K597" s="9"/>
      <c r="L597" s="9"/>
      <c r="M597" s="9"/>
      <c r="N597" s="9"/>
      <c r="O597" s="9"/>
      <c r="P597" s="9"/>
      <c r="Q597" s="9"/>
      <c r="R597" s="9"/>
      <c r="S597" s="9"/>
      <c r="T597" s="9"/>
      <c r="U597" s="9"/>
      <c r="V597" s="9"/>
      <c r="W597" s="9"/>
      <c r="X597" s="9"/>
      <c r="Y597" s="9"/>
      <c r="Z597" s="9"/>
    </row>
    <row r="598" ht="15.75" customHeight="1">
      <c r="A598" s="32"/>
      <c r="B598" s="9"/>
      <c r="C598" s="110"/>
      <c r="D598" s="134"/>
      <c r="E598" s="135"/>
      <c r="F598" s="9"/>
      <c r="G598" s="9"/>
      <c r="H598" s="9"/>
      <c r="I598" s="9"/>
      <c r="J598" s="9"/>
      <c r="K598" s="9"/>
      <c r="L598" s="9"/>
      <c r="M598" s="9"/>
      <c r="N598" s="9"/>
      <c r="O598" s="9"/>
      <c r="P598" s="9"/>
      <c r="Q598" s="9"/>
      <c r="R598" s="9"/>
      <c r="S598" s="9"/>
      <c r="T598" s="9"/>
      <c r="U598" s="9"/>
      <c r="V598" s="9"/>
      <c r="W598" s="9"/>
      <c r="X598" s="9"/>
      <c r="Y598" s="9"/>
      <c r="Z598" s="9"/>
    </row>
    <row r="599" ht="15.75" customHeight="1">
      <c r="A599" s="32"/>
      <c r="B599" s="9"/>
      <c r="C599" s="110"/>
      <c r="D599" s="134"/>
      <c r="E599" s="135"/>
      <c r="F599" s="9"/>
      <c r="G599" s="9"/>
      <c r="H599" s="9"/>
      <c r="I599" s="9"/>
      <c r="J599" s="9"/>
      <c r="K599" s="9"/>
      <c r="L599" s="9"/>
      <c r="M599" s="9"/>
      <c r="N599" s="9"/>
      <c r="O599" s="9"/>
      <c r="P599" s="9"/>
      <c r="Q599" s="9"/>
      <c r="R599" s="9"/>
      <c r="S599" s="9"/>
      <c r="T599" s="9"/>
      <c r="U599" s="9"/>
      <c r="V599" s="9"/>
      <c r="W599" s="9"/>
      <c r="X599" s="9"/>
      <c r="Y599" s="9"/>
      <c r="Z599" s="9"/>
    </row>
    <row r="600" ht="15.75" customHeight="1">
      <c r="A600" s="32"/>
      <c r="B600" s="9"/>
      <c r="C600" s="110"/>
      <c r="D600" s="134"/>
      <c r="E600" s="135"/>
      <c r="F600" s="9"/>
      <c r="G600" s="9"/>
      <c r="H600" s="9"/>
      <c r="I600" s="9"/>
      <c r="J600" s="9"/>
      <c r="K600" s="9"/>
      <c r="L600" s="9"/>
      <c r="M600" s="9"/>
      <c r="N600" s="9"/>
      <c r="O600" s="9"/>
      <c r="P600" s="9"/>
      <c r="Q600" s="9"/>
      <c r="R600" s="9"/>
      <c r="S600" s="9"/>
      <c r="T600" s="9"/>
      <c r="U600" s="9"/>
      <c r="V600" s="9"/>
      <c r="W600" s="9"/>
      <c r="X600" s="9"/>
      <c r="Y600" s="9"/>
      <c r="Z600" s="9"/>
    </row>
    <row r="601" ht="15.75" customHeight="1">
      <c r="A601" s="32"/>
      <c r="B601" s="9"/>
      <c r="C601" s="110"/>
      <c r="D601" s="134"/>
      <c r="E601" s="135"/>
      <c r="F601" s="9"/>
      <c r="G601" s="9"/>
      <c r="H601" s="9"/>
      <c r="I601" s="9"/>
      <c r="J601" s="9"/>
      <c r="K601" s="9"/>
      <c r="L601" s="9"/>
      <c r="M601" s="9"/>
      <c r="N601" s="9"/>
      <c r="O601" s="9"/>
      <c r="P601" s="9"/>
      <c r="Q601" s="9"/>
      <c r="R601" s="9"/>
      <c r="S601" s="9"/>
      <c r="T601" s="9"/>
      <c r="U601" s="9"/>
      <c r="V601" s="9"/>
      <c r="W601" s="9"/>
      <c r="X601" s="9"/>
      <c r="Y601" s="9"/>
      <c r="Z601" s="9"/>
    </row>
    <row r="602" ht="15.75" customHeight="1">
      <c r="A602" s="32"/>
      <c r="B602" s="9"/>
      <c r="C602" s="110"/>
      <c r="D602" s="134"/>
      <c r="E602" s="135"/>
      <c r="F602" s="9"/>
      <c r="G602" s="9"/>
      <c r="H602" s="9"/>
      <c r="I602" s="9"/>
      <c r="J602" s="9"/>
      <c r="K602" s="9"/>
      <c r="L602" s="9"/>
      <c r="M602" s="9"/>
      <c r="N602" s="9"/>
      <c r="O602" s="9"/>
      <c r="P602" s="9"/>
      <c r="Q602" s="9"/>
      <c r="R602" s="9"/>
      <c r="S602" s="9"/>
      <c r="T602" s="9"/>
      <c r="U602" s="9"/>
      <c r="V602" s="9"/>
      <c r="W602" s="9"/>
      <c r="X602" s="9"/>
      <c r="Y602" s="9"/>
      <c r="Z602" s="9"/>
    </row>
    <row r="603" ht="15.75" customHeight="1">
      <c r="A603" s="32"/>
      <c r="B603" s="9"/>
      <c r="C603" s="110"/>
      <c r="D603" s="134"/>
      <c r="E603" s="135"/>
      <c r="F603" s="9"/>
      <c r="G603" s="9"/>
      <c r="H603" s="9"/>
      <c r="I603" s="9"/>
      <c r="J603" s="9"/>
      <c r="K603" s="9"/>
      <c r="L603" s="9"/>
      <c r="M603" s="9"/>
      <c r="N603" s="9"/>
      <c r="O603" s="9"/>
      <c r="P603" s="9"/>
      <c r="Q603" s="9"/>
      <c r="R603" s="9"/>
      <c r="S603" s="9"/>
      <c r="T603" s="9"/>
      <c r="U603" s="9"/>
      <c r="V603" s="9"/>
      <c r="W603" s="9"/>
      <c r="X603" s="9"/>
      <c r="Y603" s="9"/>
      <c r="Z603" s="9"/>
    </row>
    <row r="604" ht="15.75" customHeight="1">
      <c r="A604" s="32"/>
      <c r="B604" s="9"/>
      <c r="C604" s="110"/>
      <c r="D604" s="134"/>
      <c r="E604" s="135"/>
      <c r="F604" s="9"/>
      <c r="G604" s="9"/>
      <c r="H604" s="9"/>
      <c r="I604" s="9"/>
      <c r="J604" s="9"/>
      <c r="K604" s="9"/>
      <c r="L604" s="9"/>
      <c r="M604" s="9"/>
      <c r="N604" s="9"/>
      <c r="O604" s="9"/>
      <c r="P604" s="9"/>
      <c r="Q604" s="9"/>
      <c r="R604" s="9"/>
      <c r="S604" s="9"/>
      <c r="T604" s="9"/>
      <c r="U604" s="9"/>
      <c r="V604" s="9"/>
      <c r="W604" s="9"/>
      <c r="X604" s="9"/>
      <c r="Y604" s="9"/>
      <c r="Z604" s="9"/>
    </row>
    <row r="605" ht="15.75" customHeight="1">
      <c r="A605" s="32"/>
      <c r="B605" s="9"/>
      <c r="C605" s="110"/>
      <c r="D605" s="134"/>
      <c r="E605" s="135"/>
      <c r="F605" s="9"/>
      <c r="G605" s="9"/>
      <c r="H605" s="9"/>
      <c r="I605" s="9"/>
      <c r="J605" s="9"/>
      <c r="K605" s="9"/>
      <c r="L605" s="9"/>
      <c r="M605" s="9"/>
      <c r="N605" s="9"/>
      <c r="O605" s="9"/>
      <c r="P605" s="9"/>
      <c r="Q605" s="9"/>
      <c r="R605" s="9"/>
      <c r="S605" s="9"/>
      <c r="T605" s="9"/>
      <c r="U605" s="9"/>
      <c r="V605" s="9"/>
      <c r="W605" s="9"/>
      <c r="X605" s="9"/>
      <c r="Y605" s="9"/>
      <c r="Z605" s="9"/>
    </row>
    <row r="606" ht="15.75" customHeight="1">
      <c r="A606" s="32"/>
      <c r="B606" s="9"/>
      <c r="C606" s="110"/>
      <c r="D606" s="134"/>
      <c r="E606" s="135"/>
      <c r="F606" s="9"/>
      <c r="G606" s="9"/>
      <c r="H606" s="9"/>
      <c r="I606" s="9"/>
      <c r="J606" s="9"/>
      <c r="K606" s="9"/>
      <c r="L606" s="9"/>
      <c r="M606" s="9"/>
      <c r="N606" s="9"/>
      <c r="O606" s="9"/>
      <c r="P606" s="9"/>
      <c r="Q606" s="9"/>
      <c r="R606" s="9"/>
      <c r="S606" s="9"/>
      <c r="T606" s="9"/>
      <c r="U606" s="9"/>
      <c r="V606" s="9"/>
      <c r="W606" s="9"/>
      <c r="X606" s="9"/>
      <c r="Y606" s="9"/>
      <c r="Z606" s="9"/>
    </row>
    <row r="607" ht="15.75" customHeight="1">
      <c r="A607" s="32"/>
      <c r="B607" s="9"/>
      <c r="C607" s="110"/>
      <c r="D607" s="134"/>
      <c r="E607" s="135"/>
      <c r="F607" s="9"/>
      <c r="G607" s="9"/>
      <c r="H607" s="9"/>
      <c r="I607" s="9"/>
      <c r="J607" s="9"/>
      <c r="K607" s="9"/>
      <c r="L607" s="9"/>
      <c r="M607" s="9"/>
      <c r="N607" s="9"/>
      <c r="O607" s="9"/>
      <c r="P607" s="9"/>
      <c r="Q607" s="9"/>
      <c r="R607" s="9"/>
      <c r="S607" s="9"/>
      <c r="T607" s="9"/>
      <c r="U607" s="9"/>
      <c r="V607" s="9"/>
      <c r="W607" s="9"/>
      <c r="X607" s="9"/>
      <c r="Y607" s="9"/>
      <c r="Z607" s="9"/>
    </row>
    <row r="608" ht="15.75" customHeight="1">
      <c r="A608" s="32"/>
      <c r="B608" s="9"/>
      <c r="C608" s="110"/>
      <c r="D608" s="134"/>
      <c r="E608" s="135"/>
      <c r="F608" s="9"/>
      <c r="G608" s="9"/>
      <c r="H608" s="9"/>
      <c r="I608" s="9"/>
      <c r="J608" s="9"/>
      <c r="K608" s="9"/>
      <c r="L608" s="9"/>
      <c r="M608" s="9"/>
      <c r="N608" s="9"/>
      <c r="O608" s="9"/>
      <c r="P608" s="9"/>
      <c r="Q608" s="9"/>
      <c r="R608" s="9"/>
      <c r="S608" s="9"/>
      <c r="T608" s="9"/>
      <c r="U608" s="9"/>
      <c r="V608" s="9"/>
      <c r="W608" s="9"/>
      <c r="X608" s="9"/>
      <c r="Y608" s="9"/>
      <c r="Z608" s="9"/>
    </row>
    <row r="609" ht="15.75" customHeight="1">
      <c r="A609" s="32"/>
      <c r="B609" s="9"/>
      <c r="C609" s="110"/>
      <c r="D609" s="134"/>
      <c r="E609" s="135"/>
      <c r="F609" s="9"/>
      <c r="G609" s="9"/>
      <c r="H609" s="9"/>
      <c r="I609" s="9"/>
      <c r="J609" s="9"/>
      <c r="K609" s="9"/>
      <c r="L609" s="9"/>
      <c r="M609" s="9"/>
      <c r="N609" s="9"/>
      <c r="O609" s="9"/>
      <c r="P609" s="9"/>
      <c r="Q609" s="9"/>
      <c r="R609" s="9"/>
      <c r="S609" s="9"/>
      <c r="T609" s="9"/>
      <c r="U609" s="9"/>
      <c r="V609" s="9"/>
      <c r="W609" s="9"/>
      <c r="X609" s="9"/>
      <c r="Y609" s="9"/>
      <c r="Z609" s="9"/>
    </row>
    <row r="610" ht="15.75" customHeight="1">
      <c r="A610" s="32"/>
      <c r="B610" s="9"/>
      <c r="C610" s="110"/>
      <c r="D610" s="134"/>
      <c r="E610" s="135"/>
      <c r="F610" s="9"/>
      <c r="G610" s="9"/>
      <c r="H610" s="9"/>
      <c r="I610" s="9"/>
      <c r="J610" s="9"/>
      <c r="K610" s="9"/>
      <c r="L610" s="9"/>
      <c r="M610" s="9"/>
      <c r="N610" s="9"/>
      <c r="O610" s="9"/>
      <c r="P610" s="9"/>
      <c r="Q610" s="9"/>
      <c r="R610" s="9"/>
      <c r="S610" s="9"/>
      <c r="T610" s="9"/>
      <c r="U610" s="9"/>
      <c r="V610" s="9"/>
      <c r="W610" s="9"/>
      <c r="X610" s="9"/>
      <c r="Y610" s="9"/>
      <c r="Z610" s="9"/>
    </row>
    <row r="611" ht="15.75" customHeight="1">
      <c r="A611" s="32"/>
      <c r="B611" s="9"/>
      <c r="C611" s="110"/>
      <c r="D611" s="134"/>
      <c r="E611" s="135"/>
      <c r="F611" s="9"/>
      <c r="G611" s="9"/>
      <c r="H611" s="9"/>
      <c r="I611" s="9"/>
      <c r="J611" s="9"/>
      <c r="K611" s="9"/>
      <c r="L611" s="9"/>
      <c r="M611" s="9"/>
      <c r="N611" s="9"/>
      <c r="O611" s="9"/>
      <c r="P611" s="9"/>
      <c r="Q611" s="9"/>
      <c r="R611" s="9"/>
      <c r="S611" s="9"/>
      <c r="T611" s="9"/>
      <c r="U611" s="9"/>
      <c r="V611" s="9"/>
      <c r="W611" s="9"/>
      <c r="X611" s="9"/>
      <c r="Y611" s="9"/>
      <c r="Z611" s="9"/>
    </row>
    <row r="612" ht="15.75" customHeight="1">
      <c r="A612" s="32"/>
      <c r="B612" s="9"/>
      <c r="C612" s="110"/>
      <c r="D612" s="134"/>
      <c r="E612" s="135"/>
      <c r="F612" s="9"/>
      <c r="G612" s="9"/>
      <c r="H612" s="9"/>
      <c r="I612" s="9"/>
      <c r="J612" s="9"/>
      <c r="K612" s="9"/>
      <c r="L612" s="9"/>
      <c r="M612" s="9"/>
      <c r="N612" s="9"/>
      <c r="O612" s="9"/>
      <c r="P612" s="9"/>
      <c r="Q612" s="9"/>
      <c r="R612" s="9"/>
      <c r="S612" s="9"/>
      <c r="T612" s="9"/>
      <c r="U612" s="9"/>
      <c r="V612" s="9"/>
      <c r="W612" s="9"/>
      <c r="X612" s="9"/>
      <c r="Y612" s="9"/>
      <c r="Z612" s="9"/>
    </row>
    <row r="613" ht="15.75" customHeight="1">
      <c r="A613" s="32"/>
      <c r="B613" s="9"/>
      <c r="C613" s="110"/>
      <c r="D613" s="134"/>
      <c r="E613" s="135"/>
      <c r="F613" s="9"/>
      <c r="G613" s="9"/>
      <c r="H613" s="9"/>
      <c r="I613" s="9"/>
      <c r="J613" s="9"/>
      <c r="K613" s="9"/>
      <c r="L613" s="9"/>
      <c r="M613" s="9"/>
      <c r="N613" s="9"/>
      <c r="O613" s="9"/>
      <c r="P613" s="9"/>
      <c r="Q613" s="9"/>
      <c r="R613" s="9"/>
      <c r="S613" s="9"/>
      <c r="T613" s="9"/>
      <c r="U613" s="9"/>
      <c r="V613" s="9"/>
      <c r="W613" s="9"/>
      <c r="X613" s="9"/>
      <c r="Y613" s="9"/>
      <c r="Z613" s="9"/>
    </row>
    <row r="614" ht="15.75" customHeight="1">
      <c r="A614" s="32"/>
      <c r="B614" s="9"/>
      <c r="C614" s="110"/>
      <c r="D614" s="134"/>
      <c r="E614" s="135"/>
      <c r="F614" s="9"/>
      <c r="G614" s="9"/>
      <c r="H614" s="9"/>
      <c r="I614" s="9"/>
      <c r="J614" s="9"/>
      <c r="K614" s="9"/>
      <c r="L614" s="9"/>
      <c r="M614" s="9"/>
      <c r="N614" s="9"/>
      <c r="O614" s="9"/>
      <c r="P614" s="9"/>
      <c r="Q614" s="9"/>
      <c r="R614" s="9"/>
      <c r="S614" s="9"/>
      <c r="T614" s="9"/>
      <c r="U614" s="9"/>
      <c r="V614" s="9"/>
      <c r="W614" s="9"/>
      <c r="X614" s="9"/>
      <c r="Y614" s="9"/>
      <c r="Z614" s="9"/>
    </row>
    <row r="615" ht="15.75" customHeight="1">
      <c r="A615" s="32"/>
      <c r="B615" s="9"/>
      <c r="C615" s="110"/>
      <c r="D615" s="134"/>
      <c r="E615" s="135"/>
      <c r="F615" s="9"/>
      <c r="G615" s="9"/>
      <c r="H615" s="9"/>
      <c r="I615" s="9"/>
      <c r="J615" s="9"/>
      <c r="K615" s="9"/>
      <c r="L615" s="9"/>
      <c r="M615" s="9"/>
      <c r="N615" s="9"/>
      <c r="O615" s="9"/>
      <c r="P615" s="9"/>
      <c r="Q615" s="9"/>
      <c r="R615" s="9"/>
      <c r="S615" s="9"/>
      <c r="T615" s="9"/>
      <c r="U615" s="9"/>
      <c r="V615" s="9"/>
      <c r="W615" s="9"/>
      <c r="X615" s="9"/>
      <c r="Y615" s="9"/>
      <c r="Z615" s="9"/>
    </row>
    <row r="616" ht="15.75" customHeight="1">
      <c r="A616" s="32"/>
      <c r="B616" s="9"/>
      <c r="C616" s="110"/>
      <c r="D616" s="134"/>
      <c r="E616" s="135"/>
      <c r="F616" s="9"/>
      <c r="G616" s="9"/>
      <c r="H616" s="9"/>
      <c r="I616" s="9"/>
      <c r="J616" s="9"/>
      <c r="K616" s="9"/>
      <c r="L616" s="9"/>
      <c r="M616" s="9"/>
      <c r="N616" s="9"/>
      <c r="O616" s="9"/>
      <c r="P616" s="9"/>
      <c r="Q616" s="9"/>
      <c r="R616" s="9"/>
      <c r="S616" s="9"/>
      <c r="T616" s="9"/>
      <c r="U616" s="9"/>
      <c r="V616" s="9"/>
      <c r="W616" s="9"/>
      <c r="X616" s="9"/>
      <c r="Y616" s="9"/>
      <c r="Z616" s="9"/>
    </row>
    <row r="617" ht="15.75" customHeight="1">
      <c r="A617" s="32"/>
      <c r="B617" s="9"/>
      <c r="C617" s="110"/>
      <c r="D617" s="134"/>
      <c r="E617" s="135"/>
      <c r="F617" s="9"/>
      <c r="G617" s="9"/>
      <c r="H617" s="9"/>
      <c r="I617" s="9"/>
      <c r="J617" s="9"/>
      <c r="K617" s="9"/>
      <c r="L617" s="9"/>
      <c r="M617" s="9"/>
      <c r="N617" s="9"/>
      <c r="O617" s="9"/>
      <c r="P617" s="9"/>
      <c r="Q617" s="9"/>
      <c r="R617" s="9"/>
      <c r="S617" s="9"/>
      <c r="T617" s="9"/>
      <c r="U617" s="9"/>
      <c r="V617" s="9"/>
      <c r="W617" s="9"/>
      <c r="X617" s="9"/>
      <c r="Y617" s="9"/>
      <c r="Z617" s="9"/>
    </row>
    <row r="618" ht="15.75" customHeight="1">
      <c r="A618" s="32"/>
      <c r="B618" s="9"/>
      <c r="C618" s="110"/>
      <c r="D618" s="134"/>
      <c r="E618" s="135"/>
      <c r="F618" s="9"/>
      <c r="G618" s="9"/>
      <c r="H618" s="9"/>
      <c r="I618" s="9"/>
      <c r="J618" s="9"/>
      <c r="K618" s="9"/>
      <c r="L618" s="9"/>
      <c r="M618" s="9"/>
      <c r="N618" s="9"/>
      <c r="O618" s="9"/>
      <c r="P618" s="9"/>
      <c r="Q618" s="9"/>
      <c r="R618" s="9"/>
      <c r="S618" s="9"/>
      <c r="T618" s="9"/>
      <c r="U618" s="9"/>
      <c r="V618" s="9"/>
      <c r="W618" s="9"/>
      <c r="X618" s="9"/>
      <c r="Y618" s="9"/>
      <c r="Z618" s="9"/>
    </row>
    <row r="619" ht="15.75" customHeight="1">
      <c r="A619" s="32"/>
      <c r="B619" s="9"/>
      <c r="C619" s="110"/>
      <c r="D619" s="134"/>
      <c r="E619" s="135"/>
      <c r="F619" s="9"/>
      <c r="G619" s="9"/>
      <c r="H619" s="9"/>
      <c r="I619" s="9"/>
      <c r="J619" s="9"/>
      <c r="K619" s="9"/>
      <c r="L619" s="9"/>
      <c r="M619" s="9"/>
      <c r="N619" s="9"/>
      <c r="O619" s="9"/>
      <c r="P619" s="9"/>
      <c r="Q619" s="9"/>
      <c r="R619" s="9"/>
      <c r="S619" s="9"/>
      <c r="T619" s="9"/>
      <c r="U619" s="9"/>
      <c r="V619" s="9"/>
      <c r="W619" s="9"/>
      <c r="X619" s="9"/>
      <c r="Y619" s="9"/>
      <c r="Z619" s="9"/>
    </row>
    <row r="620" ht="15.75" customHeight="1">
      <c r="A620" s="32"/>
      <c r="B620" s="9"/>
      <c r="C620" s="110"/>
      <c r="D620" s="134"/>
      <c r="E620" s="135"/>
      <c r="F620" s="9"/>
      <c r="G620" s="9"/>
      <c r="H620" s="9"/>
      <c r="I620" s="9"/>
      <c r="J620" s="9"/>
      <c r="K620" s="9"/>
      <c r="L620" s="9"/>
      <c r="M620" s="9"/>
      <c r="N620" s="9"/>
      <c r="O620" s="9"/>
      <c r="P620" s="9"/>
      <c r="Q620" s="9"/>
      <c r="R620" s="9"/>
      <c r="S620" s="9"/>
      <c r="T620" s="9"/>
      <c r="U620" s="9"/>
      <c r="V620" s="9"/>
      <c r="W620" s="9"/>
      <c r="X620" s="9"/>
      <c r="Y620" s="9"/>
      <c r="Z620" s="9"/>
    </row>
    <row r="621" ht="15.75" customHeight="1">
      <c r="A621" s="32"/>
      <c r="B621" s="9"/>
      <c r="C621" s="110"/>
      <c r="D621" s="134"/>
      <c r="E621" s="135"/>
      <c r="F621" s="9"/>
      <c r="G621" s="9"/>
      <c r="H621" s="9"/>
      <c r="I621" s="9"/>
      <c r="J621" s="9"/>
      <c r="K621" s="9"/>
      <c r="L621" s="9"/>
      <c r="M621" s="9"/>
      <c r="N621" s="9"/>
      <c r="O621" s="9"/>
      <c r="P621" s="9"/>
      <c r="Q621" s="9"/>
      <c r="R621" s="9"/>
      <c r="S621" s="9"/>
      <c r="T621" s="9"/>
      <c r="U621" s="9"/>
      <c r="V621" s="9"/>
      <c r="W621" s="9"/>
      <c r="X621" s="9"/>
      <c r="Y621" s="9"/>
      <c r="Z621" s="9"/>
    </row>
    <row r="622" ht="15.75" customHeight="1">
      <c r="A622" s="32"/>
      <c r="B622" s="9"/>
      <c r="C622" s="110"/>
      <c r="D622" s="134"/>
      <c r="E622" s="135"/>
      <c r="F622" s="9"/>
      <c r="G622" s="9"/>
      <c r="H622" s="9"/>
      <c r="I622" s="9"/>
      <c r="J622" s="9"/>
      <c r="K622" s="9"/>
      <c r="L622" s="9"/>
      <c r="M622" s="9"/>
      <c r="N622" s="9"/>
      <c r="O622" s="9"/>
      <c r="P622" s="9"/>
      <c r="Q622" s="9"/>
      <c r="R622" s="9"/>
      <c r="S622" s="9"/>
      <c r="T622" s="9"/>
      <c r="U622" s="9"/>
      <c r="V622" s="9"/>
      <c r="W622" s="9"/>
      <c r="X622" s="9"/>
      <c r="Y622" s="9"/>
      <c r="Z622" s="9"/>
    </row>
    <row r="623" ht="15.75" customHeight="1">
      <c r="A623" s="32"/>
      <c r="B623" s="9"/>
      <c r="C623" s="110"/>
      <c r="D623" s="134"/>
      <c r="E623" s="135"/>
      <c r="F623" s="9"/>
      <c r="G623" s="9"/>
      <c r="H623" s="9"/>
      <c r="I623" s="9"/>
      <c r="J623" s="9"/>
      <c r="K623" s="9"/>
      <c r="L623" s="9"/>
      <c r="M623" s="9"/>
      <c r="N623" s="9"/>
      <c r="O623" s="9"/>
      <c r="P623" s="9"/>
      <c r="Q623" s="9"/>
      <c r="R623" s="9"/>
      <c r="S623" s="9"/>
      <c r="T623" s="9"/>
      <c r="U623" s="9"/>
      <c r="V623" s="9"/>
      <c r="W623" s="9"/>
      <c r="X623" s="9"/>
      <c r="Y623" s="9"/>
      <c r="Z623" s="9"/>
    </row>
    <row r="624" ht="15.75" customHeight="1">
      <c r="A624" s="32"/>
      <c r="B624" s="9"/>
      <c r="C624" s="110"/>
      <c r="D624" s="134"/>
      <c r="E624" s="135"/>
      <c r="F624" s="9"/>
      <c r="G624" s="9"/>
      <c r="H624" s="9"/>
      <c r="I624" s="9"/>
      <c r="J624" s="9"/>
      <c r="K624" s="9"/>
      <c r="L624" s="9"/>
      <c r="M624" s="9"/>
      <c r="N624" s="9"/>
      <c r="O624" s="9"/>
      <c r="P624" s="9"/>
      <c r="Q624" s="9"/>
      <c r="R624" s="9"/>
      <c r="S624" s="9"/>
      <c r="T624" s="9"/>
      <c r="U624" s="9"/>
      <c r="V624" s="9"/>
      <c r="W624" s="9"/>
      <c r="X624" s="9"/>
      <c r="Y624" s="9"/>
      <c r="Z624" s="9"/>
    </row>
    <row r="625" ht="15.75" customHeight="1">
      <c r="A625" s="32"/>
      <c r="B625" s="9"/>
      <c r="C625" s="110"/>
      <c r="D625" s="134"/>
      <c r="E625" s="135"/>
      <c r="F625" s="9"/>
      <c r="G625" s="9"/>
      <c r="H625" s="9"/>
      <c r="I625" s="9"/>
      <c r="J625" s="9"/>
      <c r="K625" s="9"/>
      <c r="L625" s="9"/>
      <c r="M625" s="9"/>
      <c r="N625" s="9"/>
      <c r="O625" s="9"/>
      <c r="P625" s="9"/>
      <c r="Q625" s="9"/>
      <c r="R625" s="9"/>
      <c r="S625" s="9"/>
      <c r="T625" s="9"/>
      <c r="U625" s="9"/>
      <c r="V625" s="9"/>
      <c r="W625" s="9"/>
      <c r="X625" s="9"/>
      <c r="Y625" s="9"/>
      <c r="Z625" s="9"/>
    </row>
    <row r="626" ht="15.75" customHeight="1">
      <c r="A626" s="32"/>
      <c r="B626" s="9"/>
      <c r="C626" s="110"/>
      <c r="D626" s="134"/>
      <c r="E626" s="135"/>
      <c r="F626" s="9"/>
      <c r="G626" s="9"/>
      <c r="H626" s="9"/>
      <c r="I626" s="9"/>
      <c r="J626" s="9"/>
      <c r="K626" s="9"/>
      <c r="L626" s="9"/>
      <c r="M626" s="9"/>
      <c r="N626" s="9"/>
      <c r="O626" s="9"/>
      <c r="P626" s="9"/>
      <c r="Q626" s="9"/>
      <c r="R626" s="9"/>
      <c r="S626" s="9"/>
      <c r="T626" s="9"/>
      <c r="U626" s="9"/>
      <c r="V626" s="9"/>
      <c r="W626" s="9"/>
      <c r="X626" s="9"/>
      <c r="Y626" s="9"/>
      <c r="Z626" s="9"/>
    </row>
    <row r="627" ht="15.75" customHeight="1">
      <c r="A627" s="32"/>
      <c r="B627" s="9"/>
      <c r="C627" s="110"/>
      <c r="D627" s="134"/>
      <c r="E627" s="135"/>
      <c r="F627" s="9"/>
      <c r="G627" s="9"/>
      <c r="H627" s="9"/>
      <c r="I627" s="9"/>
      <c r="J627" s="9"/>
      <c r="K627" s="9"/>
      <c r="L627" s="9"/>
      <c r="M627" s="9"/>
      <c r="N627" s="9"/>
      <c r="O627" s="9"/>
      <c r="P627" s="9"/>
      <c r="Q627" s="9"/>
      <c r="R627" s="9"/>
      <c r="S627" s="9"/>
      <c r="T627" s="9"/>
      <c r="U627" s="9"/>
      <c r="V627" s="9"/>
      <c r="W627" s="9"/>
      <c r="X627" s="9"/>
      <c r="Y627" s="9"/>
      <c r="Z627" s="9"/>
    </row>
    <row r="628" ht="15.75" customHeight="1">
      <c r="A628" s="32"/>
      <c r="B628" s="9"/>
      <c r="C628" s="110"/>
      <c r="D628" s="134"/>
      <c r="E628" s="135"/>
      <c r="F628" s="9"/>
      <c r="G628" s="9"/>
      <c r="H628" s="9"/>
      <c r="I628" s="9"/>
      <c r="J628" s="9"/>
      <c r="K628" s="9"/>
      <c r="L628" s="9"/>
      <c r="M628" s="9"/>
      <c r="N628" s="9"/>
      <c r="O628" s="9"/>
      <c r="P628" s="9"/>
      <c r="Q628" s="9"/>
      <c r="R628" s="9"/>
      <c r="S628" s="9"/>
      <c r="T628" s="9"/>
      <c r="U628" s="9"/>
      <c r="V628" s="9"/>
      <c r="W628" s="9"/>
      <c r="X628" s="9"/>
      <c r="Y628" s="9"/>
      <c r="Z628" s="9"/>
    </row>
    <row r="629" ht="15.75" customHeight="1">
      <c r="A629" s="32"/>
      <c r="B629" s="9"/>
      <c r="C629" s="110"/>
      <c r="D629" s="134"/>
      <c r="E629" s="135"/>
      <c r="F629" s="9"/>
      <c r="G629" s="9"/>
      <c r="H629" s="9"/>
      <c r="I629" s="9"/>
      <c r="J629" s="9"/>
      <c r="K629" s="9"/>
      <c r="L629" s="9"/>
      <c r="M629" s="9"/>
      <c r="N629" s="9"/>
      <c r="O629" s="9"/>
      <c r="P629" s="9"/>
      <c r="Q629" s="9"/>
      <c r="R629" s="9"/>
      <c r="S629" s="9"/>
      <c r="T629" s="9"/>
      <c r="U629" s="9"/>
      <c r="V629" s="9"/>
      <c r="W629" s="9"/>
      <c r="X629" s="9"/>
      <c r="Y629" s="9"/>
      <c r="Z629" s="9"/>
    </row>
    <row r="630" ht="15.75" customHeight="1">
      <c r="A630" s="32"/>
      <c r="B630" s="9"/>
      <c r="C630" s="110"/>
      <c r="D630" s="134"/>
      <c r="E630" s="135"/>
      <c r="F630" s="9"/>
      <c r="G630" s="9"/>
      <c r="H630" s="9"/>
      <c r="I630" s="9"/>
      <c r="J630" s="9"/>
      <c r="K630" s="9"/>
      <c r="L630" s="9"/>
      <c r="M630" s="9"/>
      <c r="N630" s="9"/>
      <c r="O630" s="9"/>
      <c r="P630" s="9"/>
      <c r="Q630" s="9"/>
      <c r="R630" s="9"/>
      <c r="S630" s="9"/>
      <c r="T630" s="9"/>
      <c r="U630" s="9"/>
      <c r="V630" s="9"/>
      <c r="W630" s="9"/>
      <c r="X630" s="9"/>
      <c r="Y630" s="9"/>
      <c r="Z630" s="9"/>
    </row>
    <row r="631" ht="15.75" customHeight="1">
      <c r="A631" s="32"/>
      <c r="B631" s="9"/>
      <c r="C631" s="110"/>
      <c r="D631" s="134"/>
      <c r="E631" s="135"/>
      <c r="F631" s="9"/>
      <c r="G631" s="9"/>
      <c r="H631" s="9"/>
      <c r="I631" s="9"/>
      <c r="J631" s="9"/>
      <c r="K631" s="9"/>
      <c r="L631" s="9"/>
      <c r="M631" s="9"/>
      <c r="N631" s="9"/>
      <c r="O631" s="9"/>
      <c r="P631" s="9"/>
      <c r="Q631" s="9"/>
      <c r="R631" s="9"/>
      <c r="S631" s="9"/>
      <c r="T631" s="9"/>
      <c r="U631" s="9"/>
      <c r="V631" s="9"/>
      <c r="W631" s="9"/>
      <c r="X631" s="9"/>
      <c r="Y631" s="9"/>
      <c r="Z631" s="9"/>
    </row>
    <row r="632" ht="15.75" customHeight="1">
      <c r="A632" s="32"/>
      <c r="B632" s="9"/>
      <c r="C632" s="110"/>
      <c r="D632" s="134"/>
      <c r="E632" s="135"/>
      <c r="F632" s="9"/>
      <c r="G632" s="9"/>
      <c r="H632" s="9"/>
      <c r="I632" s="9"/>
      <c r="J632" s="9"/>
      <c r="K632" s="9"/>
      <c r="L632" s="9"/>
      <c r="M632" s="9"/>
      <c r="N632" s="9"/>
      <c r="O632" s="9"/>
      <c r="P632" s="9"/>
      <c r="Q632" s="9"/>
      <c r="R632" s="9"/>
      <c r="S632" s="9"/>
      <c r="T632" s="9"/>
      <c r="U632" s="9"/>
      <c r="V632" s="9"/>
      <c r="W632" s="9"/>
      <c r="X632" s="9"/>
      <c r="Y632" s="9"/>
      <c r="Z632" s="9"/>
    </row>
    <row r="633" ht="15.75" customHeight="1">
      <c r="A633" s="32"/>
      <c r="B633" s="9"/>
      <c r="C633" s="110"/>
      <c r="D633" s="134"/>
      <c r="E633" s="135"/>
      <c r="F633" s="9"/>
      <c r="G633" s="9"/>
      <c r="H633" s="9"/>
      <c r="I633" s="9"/>
      <c r="J633" s="9"/>
      <c r="K633" s="9"/>
      <c r="L633" s="9"/>
      <c r="M633" s="9"/>
      <c r="N633" s="9"/>
      <c r="O633" s="9"/>
      <c r="P633" s="9"/>
      <c r="Q633" s="9"/>
      <c r="R633" s="9"/>
      <c r="S633" s="9"/>
      <c r="T633" s="9"/>
      <c r="U633" s="9"/>
      <c r="V633" s="9"/>
      <c r="W633" s="9"/>
      <c r="X633" s="9"/>
      <c r="Y633" s="9"/>
      <c r="Z633" s="9"/>
    </row>
    <row r="634" ht="15.75" customHeight="1">
      <c r="A634" s="32"/>
      <c r="B634" s="9"/>
      <c r="C634" s="110"/>
      <c r="D634" s="134"/>
      <c r="E634" s="135"/>
      <c r="F634" s="9"/>
      <c r="G634" s="9"/>
      <c r="H634" s="9"/>
      <c r="I634" s="9"/>
      <c r="J634" s="9"/>
      <c r="K634" s="9"/>
      <c r="L634" s="9"/>
      <c r="M634" s="9"/>
      <c r="N634" s="9"/>
      <c r="O634" s="9"/>
      <c r="P634" s="9"/>
      <c r="Q634" s="9"/>
      <c r="R634" s="9"/>
      <c r="S634" s="9"/>
      <c r="T634" s="9"/>
      <c r="U634" s="9"/>
      <c r="V634" s="9"/>
      <c r="W634" s="9"/>
      <c r="X634" s="9"/>
      <c r="Y634" s="9"/>
      <c r="Z634" s="9"/>
    </row>
    <row r="635" ht="15.75" customHeight="1">
      <c r="A635" s="32"/>
      <c r="B635" s="9"/>
      <c r="C635" s="110"/>
      <c r="D635" s="134"/>
      <c r="E635" s="135"/>
      <c r="F635" s="9"/>
      <c r="G635" s="9"/>
      <c r="H635" s="9"/>
      <c r="I635" s="9"/>
      <c r="J635" s="9"/>
      <c r="K635" s="9"/>
      <c r="L635" s="9"/>
      <c r="M635" s="9"/>
      <c r="N635" s="9"/>
      <c r="O635" s="9"/>
      <c r="P635" s="9"/>
      <c r="Q635" s="9"/>
      <c r="R635" s="9"/>
      <c r="S635" s="9"/>
      <c r="T635" s="9"/>
      <c r="U635" s="9"/>
      <c r="V635" s="9"/>
      <c r="W635" s="9"/>
      <c r="X635" s="9"/>
      <c r="Y635" s="9"/>
      <c r="Z635" s="9"/>
    </row>
    <row r="636" ht="15.75" customHeight="1">
      <c r="A636" s="32"/>
      <c r="B636" s="9"/>
      <c r="C636" s="110"/>
      <c r="D636" s="134"/>
      <c r="E636" s="135"/>
      <c r="F636" s="9"/>
      <c r="G636" s="9"/>
      <c r="H636" s="9"/>
      <c r="I636" s="9"/>
      <c r="J636" s="9"/>
      <c r="K636" s="9"/>
      <c r="L636" s="9"/>
      <c r="M636" s="9"/>
      <c r="N636" s="9"/>
      <c r="O636" s="9"/>
      <c r="P636" s="9"/>
      <c r="Q636" s="9"/>
      <c r="R636" s="9"/>
      <c r="S636" s="9"/>
      <c r="T636" s="9"/>
      <c r="U636" s="9"/>
      <c r="V636" s="9"/>
      <c r="W636" s="9"/>
      <c r="X636" s="9"/>
      <c r="Y636" s="9"/>
      <c r="Z636" s="9"/>
    </row>
    <row r="637" ht="15.75" customHeight="1">
      <c r="A637" s="32"/>
      <c r="B637" s="9"/>
      <c r="C637" s="110"/>
      <c r="D637" s="134"/>
      <c r="E637" s="135"/>
      <c r="F637" s="9"/>
      <c r="G637" s="9"/>
      <c r="H637" s="9"/>
      <c r="I637" s="9"/>
      <c r="J637" s="9"/>
      <c r="K637" s="9"/>
      <c r="L637" s="9"/>
      <c r="M637" s="9"/>
      <c r="N637" s="9"/>
      <c r="O637" s="9"/>
      <c r="P637" s="9"/>
      <c r="Q637" s="9"/>
      <c r="R637" s="9"/>
      <c r="S637" s="9"/>
      <c r="T637" s="9"/>
      <c r="U637" s="9"/>
      <c r="V637" s="9"/>
      <c r="W637" s="9"/>
      <c r="X637" s="9"/>
      <c r="Y637" s="9"/>
      <c r="Z637" s="9"/>
    </row>
    <row r="638" ht="15.75" customHeight="1">
      <c r="A638" s="32"/>
      <c r="B638" s="9"/>
      <c r="C638" s="110"/>
      <c r="D638" s="134"/>
      <c r="E638" s="135"/>
      <c r="F638" s="9"/>
      <c r="G638" s="9"/>
      <c r="H638" s="9"/>
      <c r="I638" s="9"/>
      <c r="J638" s="9"/>
      <c r="K638" s="9"/>
      <c r="L638" s="9"/>
      <c r="M638" s="9"/>
      <c r="N638" s="9"/>
      <c r="O638" s="9"/>
      <c r="P638" s="9"/>
      <c r="Q638" s="9"/>
      <c r="R638" s="9"/>
      <c r="S638" s="9"/>
      <c r="T638" s="9"/>
      <c r="U638" s="9"/>
      <c r="V638" s="9"/>
      <c r="W638" s="9"/>
      <c r="X638" s="9"/>
      <c r="Y638" s="9"/>
      <c r="Z638" s="9"/>
    </row>
    <row r="639" ht="15.75" customHeight="1">
      <c r="A639" s="32"/>
      <c r="B639" s="9"/>
      <c r="C639" s="110"/>
      <c r="D639" s="134"/>
      <c r="E639" s="135"/>
      <c r="F639" s="9"/>
      <c r="G639" s="9"/>
      <c r="H639" s="9"/>
      <c r="I639" s="9"/>
      <c r="J639" s="9"/>
      <c r="K639" s="9"/>
      <c r="L639" s="9"/>
      <c r="M639" s="9"/>
      <c r="N639" s="9"/>
      <c r="O639" s="9"/>
      <c r="P639" s="9"/>
      <c r="Q639" s="9"/>
      <c r="R639" s="9"/>
      <c r="S639" s="9"/>
      <c r="T639" s="9"/>
      <c r="U639" s="9"/>
      <c r="V639" s="9"/>
      <c r="W639" s="9"/>
      <c r="X639" s="9"/>
      <c r="Y639" s="9"/>
      <c r="Z639" s="9"/>
    </row>
    <row r="640" ht="15.75" customHeight="1">
      <c r="A640" s="32"/>
      <c r="B640" s="9"/>
      <c r="C640" s="110"/>
      <c r="D640" s="134"/>
      <c r="E640" s="135"/>
      <c r="F640" s="9"/>
      <c r="G640" s="9"/>
      <c r="H640" s="9"/>
      <c r="I640" s="9"/>
      <c r="J640" s="9"/>
      <c r="K640" s="9"/>
      <c r="L640" s="9"/>
      <c r="M640" s="9"/>
      <c r="N640" s="9"/>
      <c r="O640" s="9"/>
      <c r="P640" s="9"/>
      <c r="Q640" s="9"/>
      <c r="R640" s="9"/>
      <c r="S640" s="9"/>
      <c r="T640" s="9"/>
      <c r="U640" s="9"/>
      <c r="V640" s="9"/>
      <c r="W640" s="9"/>
      <c r="X640" s="9"/>
      <c r="Y640" s="9"/>
      <c r="Z640" s="9"/>
    </row>
    <row r="641" ht="15.75" customHeight="1">
      <c r="A641" s="32"/>
      <c r="B641" s="9"/>
      <c r="C641" s="110"/>
      <c r="D641" s="134"/>
      <c r="E641" s="135"/>
      <c r="F641" s="9"/>
      <c r="G641" s="9"/>
      <c r="H641" s="9"/>
      <c r="I641" s="9"/>
      <c r="J641" s="9"/>
      <c r="K641" s="9"/>
      <c r="L641" s="9"/>
      <c r="M641" s="9"/>
      <c r="N641" s="9"/>
      <c r="O641" s="9"/>
      <c r="P641" s="9"/>
      <c r="Q641" s="9"/>
      <c r="R641" s="9"/>
      <c r="S641" s="9"/>
      <c r="T641" s="9"/>
      <c r="U641" s="9"/>
      <c r="V641" s="9"/>
      <c r="W641" s="9"/>
      <c r="X641" s="9"/>
      <c r="Y641" s="9"/>
      <c r="Z641" s="9"/>
    </row>
    <row r="642" ht="15.75" customHeight="1">
      <c r="A642" s="32"/>
      <c r="B642" s="9"/>
      <c r="C642" s="110"/>
      <c r="D642" s="134"/>
      <c r="E642" s="135"/>
      <c r="F642" s="9"/>
      <c r="G642" s="9"/>
      <c r="H642" s="9"/>
      <c r="I642" s="9"/>
      <c r="J642" s="9"/>
      <c r="K642" s="9"/>
      <c r="L642" s="9"/>
      <c r="M642" s="9"/>
      <c r="N642" s="9"/>
      <c r="O642" s="9"/>
      <c r="P642" s="9"/>
      <c r="Q642" s="9"/>
      <c r="R642" s="9"/>
      <c r="S642" s="9"/>
      <c r="T642" s="9"/>
      <c r="U642" s="9"/>
      <c r="V642" s="9"/>
      <c r="W642" s="9"/>
      <c r="X642" s="9"/>
      <c r="Y642" s="9"/>
      <c r="Z642" s="9"/>
    </row>
    <row r="643" ht="15.75" customHeight="1">
      <c r="A643" s="32"/>
      <c r="B643" s="9"/>
      <c r="C643" s="110"/>
      <c r="D643" s="134"/>
      <c r="E643" s="135"/>
      <c r="F643" s="9"/>
      <c r="G643" s="9"/>
      <c r="H643" s="9"/>
      <c r="I643" s="9"/>
      <c r="J643" s="9"/>
      <c r="K643" s="9"/>
      <c r="L643" s="9"/>
      <c r="M643" s="9"/>
      <c r="N643" s="9"/>
      <c r="O643" s="9"/>
      <c r="P643" s="9"/>
      <c r="Q643" s="9"/>
      <c r="R643" s="9"/>
      <c r="S643" s="9"/>
      <c r="T643" s="9"/>
      <c r="U643" s="9"/>
      <c r="V643" s="9"/>
      <c r="W643" s="9"/>
      <c r="X643" s="9"/>
      <c r="Y643" s="9"/>
      <c r="Z643" s="9"/>
    </row>
    <row r="644" ht="15.75" customHeight="1">
      <c r="A644" s="32"/>
      <c r="B644" s="9"/>
      <c r="C644" s="110"/>
      <c r="D644" s="134"/>
      <c r="E644" s="135"/>
      <c r="F644" s="9"/>
      <c r="G644" s="9"/>
      <c r="H644" s="9"/>
      <c r="I644" s="9"/>
      <c r="J644" s="9"/>
      <c r="K644" s="9"/>
      <c r="L644" s="9"/>
      <c r="M644" s="9"/>
      <c r="N644" s="9"/>
      <c r="O644" s="9"/>
      <c r="P644" s="9"/>
      <c r="Q644" s="9"/>
      <c r="R644" s="9"/>
      <c r="S644" s="9"/>
      <c r="T644" s="9"/>
      <c r="U644" s="9"/>
      <c r="V644" s="9"/>
      <c r="W644" s="9"/>
      <c r="X644" s="9"/>
      <c r="Y644" s="9"/>
      <c r="Z644" s="9"/>
    </row>
    <row r="645" ht="15.75" customHeight="1">
      <c r="A645" s="32"/>
      <c r="B645" s="9"/>
      <c r="C645" s="110"/>
      <c r="D645" s="134"/>
      <c r="E645" s="135"/>
      <c r="F645" s="9"/>
      <c r="G645" s="9"/>
      <c r="H645" s="9"/>
      <c r="I645" s="9"/>
      <c r="J645" s="9"/>
      <c r="K645" s="9"/>
      <c r="L645" s="9"/>
      <c r="M645" s="9"/>
      <c r="N645" s="9"/>
      <c r="O645" s="9"/>
      <c r="P645" s="9"/>
      <c r="Q645" s="9"/>
      <c r="R645" s="9"/>
      <c r="S645" s="9"/>
      <c r="T645" s="9"/>
      <c r="U645" s="9"/>
      <c r="V645" s="9"/>
      <c r="W645" s="9"/>
      <c r="X645" s="9"/>
      <c r="Y645" s="9"/>
      <c r="Z645" s="9"/>
    </row>
    <row r="646" ht="15.75" customHeight="1">
      <c r="A646" s="32"/>
      <c r="B646" s="9"/>
      <c r="C646" s="110"/>
      <c r="D646" s="134"/>
      <c r="E646" s="135"/>
      <c r="F646" s="9"/>
      <c r="G646" s="9"/>
      <c r="H646" s="9"/>
      <c r="I646" s="9"/>
      <c r="J646" s="9"/>
      <c r="K646" s="9"/>
      <c r="L646" s="9"/>
      <c r="M646" s="9"/>
      <c r="N646" s="9"/>
      <c r="O646" s="9"/>
      <c r="P646" s="9"/>
      <c r="Q646" s="9"/>
      <c r="R646" s="9"/>
      <c r="S646" s="9"/>
      <c r="T646" s="9"/>
      <c r="U646" s="9"/>
      <c r="V646" s="9"/>
      <c r="W646" s="9"/>
      <c r="X646" s="9"/>
      <c r="Y646" s="9"/>
      <c r="Z646" s="9"/>
    </row>
    <row r="647" ht="15.75" customHeight="1">
      <c r="A647" s="32"/>
      <c r="B647" s="9"/>
      <c r="C647" s="110"/>
      <c r="D647" s="134"/>
      <c r="E647" s="135"/>
      <c r="F647" s="9"/>
      <c r="G647" s="9"/>
      <c r="H647" s="9"/>
      <c r="I647" s="9"/>
      <c r="J647" s="9"/>
      <c r="K647" s="9"/>
      <c r="L647" s="9"/>
      <c r="M647" s="9"/>
      <c r="N647" s="9"/>
      <c r="O647" s="9"/>
      <c r="P647" s="9"/>
      <c r="Q647" s="9"/>
      <c r="R647" s="9"/>
      <c r="S647" s="9"/>
      <c r="T647" s="9"/>
      <c r="U647" s="9"/>
      <c r="V647" s="9"/>
      <c r="W647" s="9"/>
      <c r="X647" s="9"/>
      <c r="Y647" s="9"/>
      <c r="Z647" s="9"/>
    </row>
    <row r="648" ht="15.75" customHeight="1">
      <c r="A648" s="32"/>
      <c r="B648" s="9"/>
      <c r="C648" s="110"/>
      <c r="D648" s="134"/>
      <c r="E648" s="135"/>
      <c r="F648" s="9"/>
      <c r="G648" s="9"/>
      <c r="H648" s="9"/>
      <c r="I648" s="9"/>
      <c r="J648" s="9"/>
      <c r="K648" s="9"/>
      <c r="L648" s="9"/>
      <c r="M648" s="9"/>
      <c r="N648" s="9"/>
      <c r="O648" s="9"/>
      <c r="P648" s="9"/>
      <c r="Q648" s="9"/>
      <c r="R648" s="9"/>
      <c r="S648" s="9"/>
      <c r="T648" s="9"/>
      <c r="U648" s="9"/>
      <c r="V648" s="9"/>
      <c r="W648" s="9"/>
      <c r="X648" s="9"/>
      <c r="Y648" s="9"/>
      <c r="Z648" s="9"/>
    </row>
    <row r="649" ht="15.75" customHeight="1">
      <c r="A649" s="32"/>
      <c r="B649" s="9"/>
      <c r="C649" s="110"/>
      <c r="D649" s="134"/>
      <c r="E649" s="135"/>
      <c r="F649" s="9"/>
      <c r="G649" s="9"/>
      <c r="H649" s="9"/>
      <c r="I649" s="9"/>
      <c r="J649" s="9"/>
      <c r="K649" s="9"/>
      <c r="L649" s="9"/>
      <c r="M649" s="9"/>
      <c r="N649" s="9"/>
      <c r="O649" s="9"/>
      <c r="P649" s="9"/>
      <c r="Q649" s="9"/>
      <c r="R649" s="9"/>
      <c r="S649" s="9"/>
      <c r="T649" s="9"/>
      <c r="U649" s="9"/>
      <c r="V649" s="9"/>
      <c r="W649" s="9"/>
      <c r="X649" s="9"/>
      <c r="Y649" s="9"/>
      <c r="Z649" s="9"/>
    </row>
    <row r="650" ht="15.75" customHeight="1">
      <c r="A650" s="32"/>
      <c r="B650" s="9"/>
      <c r="C650" s="110"/>
      <c r="D650" s="134"/>
      <c r="E650" s="135"/>
      <c r="F650" s="9"/>
      <c r="G650" s="9"/>
      <c r="H650" s="9"/>
      <c r="I650" s="9"/>
      <c r="J650" s="9"/>
      <c r="K650" s="9"/>
      <c r="L650" s="9"/>
      <c r="M650" s="9"/>
      <c r="N650" s="9"/>
      <c r="O650" s="9"/>
      <c r="P650" s="9"/>
      <c r="Q650" s="9"/>
      <c r="R650" s="9"/>
      <c r="S650" s="9"/>
      <c r="T650" s="9"/>
      <c r="U650" s="9"/>
      <c r="V650" s="9"/>
      <c r="W650" s="9"/>
      <c r="X650" s="9"/>
      <c r="Y650" s="9"/>
      <c r="Z650" s="9"/>
    </row>
    <row r="651" ht="15.75" customHeight="1">
      <c r="A651" s="32"/>
      <c r="B651" s="9"/>
      <c r="C651" s="110"/>
      <c r="D651" s="134"/>
      <c r="E651" s="135"/>
      <c r="F651" s="9"/>
      <c r="G651" s="9"/>
      <c r="H651" s="9"/>
      <c r="I651" s="9"/>
      <c r="J651" s="9"/>
      <c r="K651" s="9"/>
      <c r="L651" s="9"/>
      <c r="M651" s="9"/>
      <c r="N651" s="9"/>
      <c r="O651" s="9"/>
      <c r="P651" s="9"/>
      <c r="Q651" s="9"/>
      <c r="R651" s="9"/>
      <c r="S651" s="9"/>
      <c r="T651" s="9"/>
      <c r="U651" s="9"/>
      <c r="V651" s="9"/>
      <c r="W651" s="9"/>
      <c r="X651" s="9"/>
      <c r="Y651" s="9"/>
      <c r="Z651" s="9"/>
    </row>
    <row r="652" ht="15.75" customHeight="1">
      <c r="A652" s="32"/>
      <c r="B652" s="9"/>
      <c r="C652" s="110"/>
      <c r="D652" s="134"/>
      <c r="E652" s="135"/>
      <c r="F652" s="9"/>
      <c r="G652" s="9"/>
      <c r="H652" s="9"/>
      <c r="I652" s="9"/>
      <c r="J652" s="9"/>
      <c r="K652" s="9"/>
      <c r="L652" s="9"/>
      <c r="M652" s="9"/>
      <c r="N652" s="9"/>
      <c r="O652" s="9"/>
      <c r="P652" s="9"/>
      <c r="Q652" s="9"/>
      <c r="R652" s="9"/>
      <c r="S652" s="9"/>
      <c r="T652" s="9"/>
      <c r="U652" s="9"/>
      <c r="V652" s="9"/>
      <c r="W652" s="9"/>
      <c r="X652" s="9"/>
      <c r="Y652" s="9"/>
      <c r="Z652" s="9"/>
    </row>
    <row r="653" ht="15.75" customHeight="1">
      <c r="A653" s="32"/>
      <c r="B653" s="9"/>
      <c r="C653" s="110"/>
      <c r="D653" s="134"/>
      <c r="E653" s="135"/>
      <c r="F653" s="9"/>
      <c r="G653" s="9"/>
      <c r="H653" s="9"/>
      <c r="I653" s="9"/>
      <c r="J653" s="9"/>
      <c r="K653" s="9"/>
      <c r="L653" s="9"/>
      <c r="M653" s="9"/>
      <c r="N653" s="9"/>
      <c r="O653" s="9"/>
      <c r="P653" s="9"/>
      <c r="Q653" s="9"/>
      <c r="R653" s="9"/>
      <c r="S653" s="9"/>
      <c r="T653" s="9"/>
      <c r="U653" s="9"/>
      <c r="V653" s="9"/>
      <c r="W653" s="9"/>
      <c r="X653" s="9"/>
      <c r="Y653" s="9"/>
      <c r="Z653" s="9"/>
    </row>
    <row r="654" ht="15.75" customHeight="1">
      <c r="A654" s="32"/>
      <c r="B654" s="9"/>
      <c r="C654" s="110"/>
      <c r="D654" s="134"/>
      <c r="E654" s="135"/>
      <c r="F654" s="9"/>
      <c r="G654" s="9"/>
      <c r="H654" s="9"/>
      <c r="I654" s="9"/>
      <c r="J654" s="9"/>
      <c r="K654" s="9"/>
      <c r="L654" s="9"/>
      <c r="M654" s="9"/>
      <c r="N654" s="9"/>
      <c r="O654" s="9"/>
      <c r="P654" s="9"/>
      <c r="Q654" s="9"/>
      <c r="R654" s="9"/>
      <c r="S654" s="9"/>
      <c r="T654" s="9"/>
      <c r="U654" s="9"/>
      <c r="V654" s="9"/>
      <c r="W654" s="9"/>
      <c r="X654" s="9"/>
      <c r="Y654" s="9"/>
      <c r="Z654" s="9"/>
    </row>
    <row r="655" ht="15.75" customHeight="1">
      <c r="A655" s="32"/>
      <c r="B655" s="9"/>
      <c r="C655" s="110"/>
      <c r="D655" s="134"/>
      <c r="E655" s="135"/>
      <c r="F655" s="9"/>
      <c r="G655" s="9"/>
      <c r="H655" s="9"/>
      <c r="I655" s="9"/>
      <c r="J655" s="9"/>
      <c r="K655" s="9"/>
      <c r="L655" s="9"/>
      <c r="M655" s="9"/>
      <c r="N655" s="9"/>
      <c r="O655" s="9"/>
      <c r="P655" s="9"/>
      <c r="Q655" s="9"/>
      <c r="R655" s="9"/>
      <c r="S655" s="9"/>
      <c r="T655" s="9"/>
      <c r="U655" s="9"/>
      <c r="V655" s="9"/>
      <c r="W655" s="9"/>
      <c r="X655" s="9"/>
      <c r="Y655" s="9"/>
      <c r="Z655" s="9"/>
    </row>
    <row r="656" ht="15.75" customHeight="1">
      <c r="A656" s="32"/>
      <c r="B656" s="9"/>
      <c r="C656" s="110"/>
      <c r="D656" s="134"/>
      <c r="E656" s="135"/>
      <c r="F656" s="9"/>
      <c r="G656" s="9"/>
      <c r="H656" s="9"/>
      <c r="I656" s="9"/>
      <c r="J656" s="9"/>
      <c r="K656" s="9"/>
      <c r="L656" s="9"/>
      <c r="M656" s="9"/>
      <c r="N656" s="9"/>
      <c r="O656" s="9"/>
      <c r="P656" s="9"/>
      <c r="Q656" s="9"/>
      <c r="R656" s="9"/>
      <c r="S656" s="9"/>
      <c r="T656" s="9"/>
      <c r="U656" s="9"/>
      <c r="V656" s="9"/>
      <c r="W656" s="9"/>
      <c r="X656" s="9"/>
      <c r="Y656" s="9"/>
      <c r="Z656" s="9"/>
    </row>
    <row r="657" ht="15.75" customHeight="1">
      <c r="A657" s="32"/>
      <c r="B657" s="9"/>
      <c r="C657" s="110"/>
      <c r="D657" s="134"/>
      <c r="E657" s="135"/>
      <c r="F657" s="9"/>
      <c r="G657" s="9"/>
      <c r="H657" s="9"/>
      <c r="I657" s="9"/>
      <c r="J657" s="9"/>
      <c r="K657" s="9"/>
      <c r="L657" s="9"/>
      <c r="M657" s="9"/>
      <c r="N657" s="9"/>
      <c r="O657" s="9"/>
      <c r="P657" s="9"/>
      <c r="Q657" s="9"/>
      <c r="R657" s="9"/>
      <c r="S657" s="9"/>
      <c r="T657" s="9"/>
      <c r="U657" s="9"/>
      <c r="V657" s="9"/>
      <c r="W657" s="9"/>
      <c r="X657" s="9"/>
      <c r="Y657" s="9"/>
      <c r="Z657" s="9"/>
    </row>
    <row r="658" ht="15.75" customHeight="1">
      <c r="A658" s="32"/>
      <c r="B658" s="9"/>
      <c r="C658" s="110"/>
      <c r="D658" s="134"/>
      <c r="E658" s="135"/>
      <c r="F658" s="9"/>
      <c r="G658" s="9"/>
      <c r="H658" s="9"/>
      <c r="I658" s="9"/>
      <c r="J658" s="9"/>
      <c r="K658" s="9"/>
      <c r="L658" s="9"/>
      <c r="M658" s="9"/>
      <c r="N658" s="9"/>
      <c r="O658" s="9"/>
      <c r="P658" s="9"/>
      <c r="Q658" s="9"/>
      <c r="R658" s="9"/>
      <c r="S658" s="9"/>
      <c r="T658" s="9"/>
      <c r="U658" s="9"/>
      <c r="V658" s="9"/>
      <c r="W658" s="9"/>
      <c r="X658" s="9"/>
      <c r="Y658" s="9"/>
      <c r="Z658" s="9"/>
    </row>
    <row r="659" ht="15.75" customHeight="1">
      <c r="A659" s="32"/>
      <c r="B659" s="9"/>
      <c r="C659" s="110"/>
      <c r="D659" s="134"/>
      <c r="E659" s="135"/>
      <c r="F659" s="9"/>
      <c r="G659" s="9"/>
      <c r="H659" s="9"/>
      <c r="I659" s="9"/>
      <c r="J659" s="9"/>
      <c r="K659" s="9"/>
      <c r="L659" s="9"/>
      <c r="M659" s="9"/>
      <c r="N659" s="9"/>
      <c r="O659" s="9"/>
      <c r="P659" s="9"/>
      <c r="Q659" s="9"/>
      <c r="R659" s="9"/>
      <c r="S659" s="9"/>
      <c r="T659" s="9"/>
      <c r="U659" s="9"/>
      <c r="V659" s="9"/>
      <c r="W659" s="9"/>
      <c r="X659" s="9"/>
      <c r="Y659" s="9"/>
      <c r="Z659" s="9"/>
    </row>
    <row r="660" ht="15.75" customHeight="1">
      <c r="A660" s="32"/>
      <c r="B660" s="9"/>
      <c r="C660" s="110"/>
      <c r="D660" s="134"/>
      <c r="E660" s="135"/>
      <c r="F660" s="9"/>
      <c r="G660" s="9"/>
      <c r="H660" s="9"/>
      <c r="I660" s="9"/>
      <c r="J660" s="9"/>
      <c r="K660" s="9"/>
      <c r="L660" s="9"/>
      <c r="M660" s="9"/>
      <c r="N660" s="9"/>
      <c r="O660" s="9"/>
      <c r="P660" s="9"/>
      <c r="Q660" s="9"/>
      <c r="R660" s="9"/>
      <c r="S660" s="9"/>
      <c r="T660" s="9"/>
      <c r="U660" s="9"/>
      <c r="V660" s="9"/>
      <c r="W660" s="9"/>
      <c r="X660" s="9"/>
      <c r="Y660" s="9"/>
      <c r="Z660" s="9"/>
    </row>
    <row r="661" ht="15.75" customHeight="1">
      <c r="A661" s="32"/>
      <c r="B661" s="9"/>
      <c r="C661" s="110"/>
      <c r="D661" s="134"/>
      <c r="E661" s="135"/>
      <c r="F661" s="9"/>
      <c r="G661" s="9"/>
      <c r="H661" s="9"/>
      <c r="I661" s="9"/>
      <c r="J661" s="9"/>
      <c r="K661" s="9"/>
      <c r="L661" s="9"/>
      <c r="M661" s="9"/>
      <c r="N661" s="9"/>
      <c r="O661" s="9"/>
      <c r="P661" s="9"/>
      <c r="Q661" s="9"/>
      <c r="R661" s="9"/>
      <c r="S661" s="9"/>
      <c r="T661" s="9"/>
      <c r="U661" s="9"/>
      <c r="V661" s="9"/>
      <c r="W661" s="9"/>
      <c r="X661" s="9"/>
      <c r="Y661" s="9"/>
      <c r="Z661" s="9"/>
    </row>
    <row r="662" ht="15.75" customHeight="1">
      <c r="A662" s="32"/>
      <c r="B662" s="9"/>
      <c r="C662" s="110"/>
      <c r="D662" s="134"/>
      <c r="E662" s="135"/>
      <c r="F662" s="9"/>
      <c r="G662" s="9"/>
      <c r="H662" s="9"/>
      <c r="I662" s="9"/>
      <c r="J662" s="9"/>
      <c r="K662" s="9"/>
      <c r="L662" s="9"/>
      <c r="M662" s="9"/>
      <c r="N662" s="9"/>
      <c r="O662" s="9"/>
      <c r="P662" s="9"/>
      <c r="Q662" s="9"/>
      <c r="R662" s="9"/>
      <c r="S662" s="9"/>
      <c r="T662" s="9"/>
      <c r="U662" s="9"/>
      <c r="V662" s="9"/>
      <c r="W662" s="9"/>
      <c r="X662" s="9"/>
      <c r="Y662" s="9"/>
      <c r="Z662" s="9"/>
    </row>
    <row r="663" ht="15.75" customHeight="1">
      <c r="A663" s="32"/>
      <c r="B663" s="9"/>
      <c r="C663" s="110"/>
      <c r="D663" s="134"/>
      <c r="E663" s="135"/>
      <c r="F663" s="9"/>
      <c r="G663" s="9"/>
      <c r="H663" s="9"/>
      <c r="I663" s="9"/>
      <c r="J663" s="9"/>
      <c r="K663" s="9"/>
      <c r="L663" s="9"/>
      <c r="M663" s="9"/>
      <c r="N663" s="9"/>
      <c r="O663" s="9"/>
      <c r="P663" s="9"/>
      <c r="Q663" s="9"/>
      <c r="R663" s="9"/>
      <c r="S663" s="9"/>
      <c r="T663" s="9"/>
      <c r="U663" s="9"/>
      <c r="V663" s="9"/>
      <c r="W663" s="9"/>
      <c r="X663" s="9"/>
      <c r="Y663" s="9"/>
      <c r="Z663" s="9"/>
    </row>
    <row r="664" ht="15.75" customHeight="1">
      <c r="A664" s="32"/>
      <c r="B664" s="9"/>
      <c r="C664" s="110"/>
      <c r="D664" s="134"/>
      <c r="E664" s="135"/>
      <c r="F664" s="9"/>
      <c r="G664" s="9"/>
      <c r="H664" s="9"/>
      <c r="I664" s="9"/>
      <c r="J664" s="9"/>
      <c r="K664" s="9"/>
      <c r="L664" s="9"/>
      <c r="M664" s="9"/>
      <c r="N664" s="9"/>
      <c r="O664" s="9"/>
      <c r="P664" s="9"/>
      <c r="Q664" s="9"/>
      <c r="R664" s="9"/>
      <c r="S664" s="9"/>
      <c r="T664" s="9"/>
      <c r="U664" s="9"/>
      <c r="V664" s="9"/>
      <c r="W664" s="9"/>
      <c r="X664" s="9"/>
      <c r="Y664" s="9"/>
      <c r="Z664" s="9"/>
    </row>
    <row r="665" ht="15.75" customHeight="1">
      <c r="A665" s="32"/>
      <c r="B665" s="9"/>
      <c r="C665" s="110"/>
      <c r="D665" s="134"/>
      <c r="E665" s="135"/>
      <c r="F665" s="9"/>
      <c r="G665" s="9"/>
      <c r="H665" s="9"/>
      <c r="I665" s="9"/>
      <c r="J665" s="9"/>
      <c r="K665" s="9"/>
      <c r="L665" s="9"/>
      <c r="M665" s="9"/>
      <c r="N665" s="9"/>
      <c r="O665" s="9"/>
      <c r="P665" s="9"/>
      <c r="Q665" s="9"/>
      <c r="R665" s="9"/>
      <c r="S665" s="9"/>
      <c r="T665" s="9"/>
      <c r="U665" s="9"/>
      <c r="V665" s="9"/>
      <c r="W665" s="9"/>
      <c r="X665" s="9"/>
      <c r="Y665" s="9"/>
      <c r="Z665" s="9"/>
    </row>
    <row r="666" ht="15.75" customHeight="1">
      <c r="A666" s="32"/>
      <c r="B666" s="9"/>
      <c r="C666" s="110"/>
      <c r="D666" s="134"/>
      <c r="E666" s="135"/>
      <c r="F666" s="9"/>
      <c r="G666" s="9"/>
      <c r="H666" s="9"/>
      <c r="I666" s="9"/>
      <c r="J666" s="9"/>
      <c r="K666" s="9"/>
      <c r="L666" s="9"/>
      <c r="M666" s="9"/>
      <c r="N666" s="9"/>
      <c r="O666" s="9"/>
      <c r="P666" s="9"/>
      <c r="Q666" s="9"/>
      <c r="R666" s="9"/>
      <c r="S666" s="9"/>
      <c r="T666" s="9"/>
      <c r="U666" s="9"/>
      <c r="V666" s="9"/>
      <c r="W666" s="9"/>
      <c r="X666" s="9"/>
      <c r="Y666" s="9"/>
      <c r="Z666" s="9"/>
    </row>
    <row r="667" ht="15.75" customHeight="1">
      <c r="A667" s="32"/>
      <c r="B667" s="9"/>
      <c r="C667" s="110"/>
      <c r="D667" s="134"/>
      <c r="E667" s="135"/>
      <c r="F667" s="9"/>
      <c r="G667" s="9"/>
      <c r="H667" s="9"/>
      <c r="I667" s="9"/>
      <c r="J667" s="9"/>
      <c r="K667" s="9"/>
      <c r="L667" s="9"/>
      <c r="M667" s="9"/>
      <c r="N667" s="9"/>
      <c r="O667" s="9"/>
      <c r="P667" s="9"/>
      <c r="Q667" s="9"/>
      <c r="R667" s="9"/>
      <c r="S667" s="9"/>
      <c r="T667" s="9"/>
      <c r="U667" s="9"/>
      <c r="V667" s="9"/>
      <c r="W667" s="9"/>
      <c r="X667" s="9"/>
      <c r="Y667" s="9"/>
      <c r="Z667" s="9"/>
    </row>
    <row r="668" ht="15.75" customHeight="1">
      <c r="A668" s="32"/>
      <c r="B668" s="9"/>
      <c r="C668" s="110"/>
      <c r="D668" s="134"/>
      <c r="E668" s="135"/>
      <c r="F668" s="9"/>
      <c r="G668" s="9"/>
      <c r="H668" s="9"/>
      <c r="I668" s="9"/>
      <c r="J668" s="9"/>
      <c r="K668" s="9"/>
      <c r="L668" s="9"/>
      <c r="M668" s="9"/>
      <c r="N668" s="9"/>
      <c r="O668" s="9"/>
      <c r="P668" s="9"/>
      <c r="Q668" s="9"/>
      <c r="R668" s="9"/>
      <c r="S668" s="9"/>
      <c r="T668" s="9"/>
      <c r="U668" s="9"/>
      <c r="V668" s="9"/>
      <c r="W668" s="9"/>
      <c r="X668" s="9"/>
      <c r="Y668" s="9"/>
      <c r="Z668" s="9"/>
    </row>
    <row r="669" ht="15.75" customHeight="1">
      <c r="A669" s="32"/>
      <c r="B669" s="9"/>
      <c r="C669" s="110"/>
      <c r="D669" s="134"/>
      <c r="E669" s="135"/>
      <c r="F669" s="9"/>
      <c r="G669" s="9"/>
      <c r="H669" s="9"/>
      <c r="I669" s="9"/>
      <c r="J669" s="9"/>
      <c r="K669" s="9"/>
      <c r="L669" s="9"/>
      <c r="M669" s="9"/>
      <c r="N669" s="9"/>
      <c r="O669" s="9"/>
      <c r="P669" s="9"/>
      <c r="Q669" s="9"/>
      <c r="R669" s="9"/>
      <c r="S669" s="9"/>
      <c r="T669" s="9"/>
      <c r="U669" s="9"/>
      <c r="V669" s="9"/>
      <c r="W669" s="9"/>
      <c r="X669" s="9"/>
      <c r="Y669" s="9"/>
      <c r="Z669" s="9"/>
    </row>
    <row r="670" ht="15.75" customHeight="1">
      <c r="A670" s="32"/>
      <c r="B670" s="9"/>
      <c r="C670" s="110"/>
      <c r="D670" s="134"/>
      <c r="E670" s="135"/>
      <c r="F670" s="9"/>
      <c r="G670" s="9"/>
      <c r="H670" s="9"/>
      <c r="I670" s="9"/>
      <c r="J670" s="9"/>
      <c r="K670" s="9"/>
      <c r="L670" s="9"/>
      <c r="M670" s="9"/>
      <c r="N670" s="9"/>
      <c r="O670" s="9"/>
      <c r="P670" s="9"/>
      <c r="Q670" s="9"/>
      <c r="R670" s="9"/>
      <c r="S670" s="9"/>
      <c r="T670" s="9"/>
      <c r="U670" s="9"/>
      <c r="V670" s="9"/>
      <c r="W670" s="9"/>
      <c r="X670" s="9"/>
      <c r="Y670" s="9"/>
      <c r="Z670" s="9"/>
    </row>
    <row r="671" ht="15.75" customHeight="1">
      <c r="A671" s="32"/>
      <c r="B671" s="9"/>
      <c r="C671" s="110"/>
      <c r="D671" s="134"/>
      <c r="E671" s="135"/>
      <c r="F671" s="9"/>
      <c r="G671" s="9"/>
      <c r="H671" s="9"/>
      <c r="I671" s="9"/>
      <c r="J671" s="9"/>
      <c r="K671" s="9"/>
      <c r="L671" s="9"/>
      <c r="M671" s="9"/>
      <c r="N671" s="9"/>
      <c r="O671" s="9"/>
      <c r="P671" s="9"/>
      <c r="Q671" s="9"/>
      <c r="R671" s="9"/>
      <c r="S671" s="9"/>
      <c r="T671" s="9"/>
      <c r="U671" s="9"/>
      <c r="V671" s="9"/>
      <c r="W671" s="9"/>
      <c r="X671" s="9"/>
      <c r="Y671" s="9"/>
      <c r="Z671" s="9"/>
    </row>
    <row r="672" ht="15.75" customHeight="1">
      <c r="A672" s="32"/>
      <c r="B672" s="9"/>
      <c r="C672" s="110"/>
      <c r="D672" s="134"/>
      <c r="E672" s="135"/>
      <c r="F672" s="9"/>
      <c r="G672" s="9"/>
      <c r="H672" s="9"/>
      <c r="I672" s="9"/>
      <c r="J672" s="9"/>
      <c r="K672" s="9"/>
      <c r="L672" s="9"/>
      <c r="M672" s="9"/>
      <c r="N672" s="9"/>
      <c r="O672" s="9"/>
      <c r="P672" s="9"/>
      <c r="Q672" s="9"/>
      <c r="R672" s="9"/>
      <c r="S672" s="9"/>
      <c r="T672" s="9"/>
      <c r="U672" s="9"/>
      <c r="V672" s="9"/>
      <c r="W672" s="9"/>
      <c r="X672" s="9"/>
      <c r="Y672" s="9"/>
      <c r="Z672" s="9"/>
    </row>
    <row r="673" ht="15.75" customHeight="1">
      <c r="A673" s="32"/>
      <c r="B673" s="9"/>
      <c r="C673" s="110"/>
      <c r="D673" s="134"/>
      <c r="E673" s="135"/>
      <c r="F673" s="9"/>
      <c r="G673" s="9"/>
      <c r="H673" s="9"/>
      <c r="I673" s="9"/>
      <c r="J673" s="9"/>
      <c r="K673" s="9"/>
      <c r="L673" s="9"/>
      <c r="M673" s="9"/>
      <c r="N673" s="9"/>
      <c r="O673" s="9"/>
      <c r="P673" s="9"/>
      <c r="Q673" s="9"/>
      <c r="R673" s="9"/>
      <c r="S673" s="9"/>
      <c r="T673" s="9"/>
      <c r="U673" s="9"/>
      <c r="V673" s="9"/>
      <c r="W673" s="9"/>
      <c r="X673" s="9"/>
      <c r="Y673" s="9"/>
      <c r="Z673" s="9"/>
    </row>
    <row r="674" ht="15.75" customHeight="1">
      <c r="A674" s="32"/>
      <c r="B674" s="9"/>
      <c r="C674" s="110"/>
      <c r="D674" s="134"/>
      <c r="E674" s="135"/>
      <c r="F674" s="9"/>
      <c r="G674" s="9"/>
      <c r="H674" s="9"/>
      <c r="I674" s="9"/>
      <c r="J674" s="9"/>
      <c r="K674" s="9"/>
      <c r="L674" s="9"/>
      <c r="M674" s="9"/>
      <c r="N674" s="9"/>
      <c r="O674" s="9"/>
      <c r="P674" s="9"/>
      <c r="Q674" s="9"/>
      <c r="R674" s="9"/>
      <c r="S674" s="9"/>
      <c r="T674" s="9"/>
      <c r="U674" s="9"/>
      <c r="V674" s="9"/>
      <c r="W674" s="9"/>
      <c r="X674" s="9"/>
      <c r="Y674" s="9"/>
      <c r="Z674" s="9"/>
    </row>
    <row r="675" ht="15.75" customHeight="1">
      <c r="A675" s="32"/>
      <c r="B675" s="9"/>
      <c r="C675" s="110"/>
      <c r="D675" s="134"/>
      <c r="E675" s="135"/>
      <c r="F675" s="9"/>
      <c r="G675" s="9"/>
      <c r="H675" s="9"/>
      <c r="I675" s="9"/>
      <c r="J675" s="9"/>
      <c r="K675" s="9"/>
      <c r="L675" s="9"/>
      <c r="M675" s="9"/>
      <c r="N675" s="9"/>
      <c r="O675" s="9"/>
      <c r="P675" s="9"/>
      <c r="Q675" s="9"/>
      <c r="R675" s="9"/>
      <c r="S675" s="9"/>
      <c r="T675" s="9"/>
      <c r="U675" s="9"/>
      <c r="V675" s="9"/>
      <c r="W675" s="9"/>
      <c r="X675" s="9"/>
      <c r="Y675" s="9"/>
      <c r="Z675" s="9"/>
    </row>
    <row r="676" ht="15.75" customHeight="1">
      <c r="A676" s="32"/>
      <c r="B676" s="9"/>
      <c r="C676" s="110"/>
      <c r="D676" s="134"/>
      <c r="E676" s="135"/>
      <c r="F676" s="9"/>
      <c r="G676" s="9"/>
      <c r="H676" s="9"/>
      <c r="I676" s="9"/>
      <c r="J676" s="9"/>
      <c r="K676" s="9"/>
      <c r="L676" s="9"/>
      <c r="M676" s="9"/>
      <c r="N676" s="9"/>
      <c r="O676" s="9"/>
      <c r="P676" s="9"/>
      <c r="Q676" s="9"/>
      <c r="R676" s="9"/>
      <c r="S676" s="9"/>
      <c r="T676" s="9"/>
      <c r="U676" s="9"/>
      <c r="V676" s="9"/>
      <c r="W676" s="9"/>
      <c r="X676" s="9"/>
      <c r="Y676" s="9"/>
      <c r="Z676" s="9"/>
    </row>
    <row r="677" ht="15.75" customHeight="1">
      <c r="A677" s="32"/>
      <c r="B677" s="9"/>
      <c r="C677" s="110"/>
      <c r="D677" s="134"/>
      <c r="E677" s="135"/>
      <c r="F677" s="9"/>
      <c r="G677" s="9"/>
      <c r="H677" s="9"/>
      <c r="I677" s="9"/>
      <c r="J677" s="9"/>
      <c r="K677" s="9"/>
      <c r="L677" s="9"/>
      <c r="M677" s="9"/>
      <c r="N677" s="9"/>
      <c r="O677" s="9"/>
      <c r="P677" s="9"/>
      <c r="Q677" s="9"/>
      <c r="R677" s="9"/>
      <c r="S677" s="9"/>
      <c r="T677" s="9"/>
      <c r="U677" s="9"/>
      <c r="V677" s="9"/>
      <c r="W677" s="9"/>
      <c r="X677" s="9"/>
      <c r="Y677" s="9"/>
      <c r="Z677" s="9"/>
    </row>
    <row r="678" ht="15.75" customHeight="1">
      <c r="A678" s="32"/>
      <c r="B678" s="9"/>
      <c r="C678" s="110"/>
      <c r="D678" s="134"/>
      <c r="E678" s="135"/>
      <c r="F678" s="9"/>
      <c r="G678" s="9"/>
      <c r="H678" s="9"/>
      <c r="I678" s="9"/>
      <c r="J678" s="9"/>
      <c r="K678" s="9"/>
      <c r="L678" s="9"/>
      <c r="M678" s="9"/>
      <c r="N678" s="9"/>
      <c r="O678" s="9"/>
      <c r="P678" s="9"/>
      <c r="Q678" s="9"/>
      <c r="R678" s="9"/>
      <c r="S678" s="9"/>
      <c r="T678" s="9"/>
      <c r="U678" s="9"/>
      <c r="V678" s="9"/>
      <c r="W678" s="9"/>
      <c r="X678" s="9"/>
      <c r="Y678" s="9"/>
      <c r="Z678" s="9"/>
    </row>
    <row r="679" ht="15.75" customHeight="1">
      <c r="A679" s="32"/>
      <c r="B679" s="9"/>
      <c r="C679" s="110"/>
      <c r="D679" s="134"/>
      <c r="E679" s="135"/>
      <c r="F679" s="9"/>
      <c r="G679" s="9"/>
      <c r="H679" s="9"/>
      <c r="I679" s="9"/>
      <c r="J679" s="9"/>
      <c r="K679" s="9"/>
      <c r="L679" s="9"/>
      <c r="M679" s="9"/>
      <c r="N679" s="9"/>
      <c r="O679" s="9"/>
      <c r="P679" s="9"/>
      <c r="Q679" s="9"/>
      <c r="R679" s="9"/>
      <c r="S679" s="9"/>
      <c r="T679" s="9"/>
      <c r="U679" s="9"/>
      <c r="V679" s="9"/>
      <c r="W679" s="9"/>
      <c r="X679" s="9"/>
      <c r="Y679" s="9"/>
      <c r="Z679" s="9"/>
    </row>
    <row r="680" ht="15.75" customHeight="1">
      <c r="A680" s="32"/>
      <c r="B680" s="9"/>
      <c r="C680" s="110"/>
      <c r="D680" s="134"/>
      <c r="E680" s="135"/>
      <c r="F680" s="9"/>
      <c r="G680" s="9"/>
      <c r="H680" s="9"/>
      <c r="I680" s="9"/>
      <c r="J680" s="9"/>
      <c r="K680" s="9"/>
      <c r="L680" s="9"/>
      <c r="M680" s="9"/>
      <c r="N680" s="9"/>
      <c r="O680" s="9"/>
      <c r="P680" s="9"/>
      <c r="Q680" s="9"/>
      <c r="R680" s="9"/>
      <c r="S680" s="9"/>
      <c r="T680" s="9"/>
      <c r="U680" s="9"/>
      <c r="V680" s="9"/>
      <c r="W680" s="9"/>
      <c r="X680" s="9"/>
      <c r="Y680" s="9"/>
      <c r="Z680" s="9"/>
    </row>
    <row r="681" ht="15.75" customHeight="1">
      <c r="A681" s="32"/>
      <c r="B681" s="9"/>
      <c r="C681" s="110"/>
      <c r="D681" s="134"/>
      <c r="E681" s="135"/>
      <c r="F681" s="9"/>
      <c r="G681" s="9"/>
      <c r="H681" s="9"/>
      <c r="I681" s="9"/>
      <c r="J681" s="9"/>
      <c r="K681" s="9"/>
      <c r="L681" s="9"/>
      <c r="M681" s="9"/>
      <c r="N681" s="9"/>
      <c r="O681" s="9"/>
      <c r="P681" s="9"/>
      <c r="Q681" s="9"/>
      <c r="R681" s="9"/>
      <c r="S681" s="9"/>
      <c r="T681" s="9"/>
      <c r="U681" s="9"/>
      <c r="V681" s="9"/>
      <c r="W681" s="9"/>
      <c r="X681" s="9"/>
      <c r="Y681" s="9"/>
      <c r="Z681" s="9"/>
    </row>
    <row r="682" ht="15.75" customHeight="1">
      <c r="A682" s="32"/>
      <c r="B682" s="9"/>
      <c r="C682" s="110"/>
      <c r="D682" s="134"/>
      <c r="E682" s="135"/>
      <c r="F682" s="9"/>
      <c r="G682" s="9"/>
      <c r="H682" s="9"/>
      <c r="I682" s="9"/>
      <c r="J682" s="9"/>
      <c r="K682" s="9"/>
      <c r="L682" s="9"/>
      <c r="M682" s="9"/>
      <c r="N682" s="9"/>
      <c r="O682" s="9"/>
      <c r="P682" s="9"/>
      <c r="Q682" s="9"/>
      <c r="R682" s="9"/>
      <c r="S682" s="9"/>
      <c r="T682" s="9"/>
      <c r="U682" s="9"/>
      <c r="V682" s="9"/>
      <c r="W682" s="9"/>
      <c r="X682" s="9"/>
      <c r="Y682" s="9"/>
      <c r="Z682" s="9"/>
    </row>
    <row r="683" ht="15.75" customHeight="1">
      <c r="A683" s="32"/>
      <c r="B683" s="9"/>
      <c r="C683" s="110"/>
      <c r="D683" s="134"/>
      <c r="E683" s="135"/>
      <c r="F683" s="9"/>
      <c r="G683" s="9"/>
      <c r="H683" s="9"/>
      <c r="I683" s="9"/>
      <c r="J683" s="9"/>
      <c r="K683" s="9"/>
      <c r="L683" s="9"/>
      <c r="M683" s="9"/>
      <c r="N683" s="9"/>
      <c r="O683" s="9"/>
      <c r="P683" s="9"/>
      <c r="Q683" s="9"/>
      <c r="R683" s="9"/>
      <c r="S683" s="9"/>
      <c r="T683" s="9"/>
      <c r="U683" s="9"/>
      <c r="V683" s="9"/>
      <c r="W683" s="9"/>
      <c r="X683" s="9"/>
      <c r="Y683" s="9"/>
      <c r="Z683" s="9"/>
    </row>
    <row r="684" ht="15.75" customHeight="1">
      <c r="A684" s="32"/>
      <c r="B684" s="9"/>
      <c r="C684" s="110"/>
      <c r="D684" s="134"/>
      <c r="E684" s="135"/>
      <c r="F684" s="9"/>
      <c r="G684" s="9"/>
      <c r="H684" s="9"/>
      <c r="I684" s="9"/>
      <c r="J684" s="9"/>
      <c r="K684" s="9"/>
      <c r="L684" s="9"/>
      <c r="M684" s="9"/>
      <c r="N684" s="9"/>
      <c r="O684" s="9"/>
      <c r="P684" s="9"/>
      <c r="Q684" s="9"/>
      <c r="R684" s="9"/>
      <c r="S684" s="9"/>
      <c r="T684" s="9"/>
      <c r="U684" s="9"/>
      <c r="V684" s="9"/>
      <c r="W684" s="9"/>
      <c r="X684" s="9"/>
      <c r="Y684" s="9"/>
      <c r="Z684" s="9"/>
    </row>
    <row r="685" ht="15.75" customHeight="1">
      <c r="A685" s="32"/>
      <c r="B685" s="9"/>
      <c r="C685" s="110"/>
      <c r="D685" s="134"/>
      <c r="E685" s="135"/>
      <c r="F685" s="9"/>
      <c r="G685" s="9"/>
      <c r="H685" s="9"/>
      <c r="I685" s="9"/>
      <c r="J685" s="9"/>
      <c r="K685" s="9"/>
      <c r="L685" s="9"/>
      <c r="M685" s="9"/>
      <c r="N685" s="9"/>
      <c r="O685" s="9"/>
      <c r="P685" s="9"/>
      <c r="Q685" s="9"/>
      <c r="R685" s="9"/>
      <c r="S685" s="9"/>
      <c r="T685" s="9"/>
      <c r="U685" s="9"/>
      <c r="V685" s="9"/>
      <c r="W685" s="9"/>
      <c r="X685" s="9"/>
      <c r="Y685" s="9"/>
      <c r="Z685" s="9"/>
    </row>
    <row r="686" ht="15.75" customHeight="1">
      <c r="A686" s="32"/>
      <c r="B686" s="9"/>
      <c r="C686" s="110"/>
      <c r="D686" s="134"/>
      <c r="E686" s="135"/>
      <c r="F686" s="9"/>
      <c r="G686" s="9"/>
      <c r="H686" s="9"/>
      <c r="I686" s="9"/>
      <c r="J686" s="9"/>
      <c r="K686" s="9"/>
      <c r="L686" s="9"/>
      <c r="M686" s="9"/>
      <c r="N686" s="9"/>
      <c r="O686" s="9"/>
      <c r="P686" s="9"/>
      <c r="Q686" s="9"/>
      <c r="R686" s="9"/>
      <c r="S686" s="9"/>
      <c r="T686" s="9"/>
      <c r="U686" s="9"/>
      <c r="V686" s="9"/>
      <c r="W686" s="9"/>
      <c r="X686" s="9"/>
      <c r="Y686" s="9"/>
      <c r="Z686" s="9"/>
    </row>
    <row r="687" ht="15.75" customHeight="1">
      <c r="A687" s="32"/>
      <c r="B687" s="9"/>
      <c r="C687" s="110"/>
      <c r="D687" s="134"/>
      <c r="E687" s="135"/>
      <c r="F687" s="9"/>
      <c r="G687" s="9"/>
      <c r="H687" s="9"/>
      <c r="I687" s="9"/>
      <c r="J687" s="9"/>
      <c r="K687" s="9"/>
      <c r="L687" s="9"/>
      <c r="M687" s="9"/>
      <c r="N687" s="9"/>
      <c r="O687" s="9"/>
      <c r="P687" s="9"/>
      <c r="Q687" s="9"/>
      <c r="R687" s="9"/>
      <c r="S687" s="9"/>
      <c r="T687" s="9"/>
      <c r="U687" s="9"/>
      <c r="V687" s="9"/>
      <c r="W687" s="9"/>
      <c r="X687" s="9"/>
      <c r="Y687" s="9"/>
      <c r="Z687" s="9"/>
    </row>
    <row r="688" ht="15.75" customHeight="1">
      <c r="A688" s="32"/>
      <c r="B688" s="9"/>
      <c r="C688" s="110"/>
      <c r="D688" s="134"/>
      <c r="E688" s="135"/>
      <c r="F688" s="9"/>
      <c r="G688" s="9"/>
      <c r="H688" s="9"/>
      <c r="I688" s="9"/>
      <c r="J688" s="9"/>
      <c r="K688" s="9"/>
      <c r="L688" s="9"/>
      <c r="M688" s="9"/>
      <c r="N688" s="9"/>
      <c r="O688" s="9"/>
      <c r="P688" s="9"/>
      <c r="Q688" s="9"/>
      <c r="R688" s="9"/>
      <c r="S688" s="9"/>
      <c r="T688" s="9"/>
      <c r="U688" s="9"/>
      <c r="V688" s="9"/>
      <c r="W688" s="9"/>
      <c r="X688" s="9"/>
      <c r="Y688" s="9"/>
      <c r="Z688" s="9"/>
    </row>
    <row r="689" ht="15.75" customHeight="1">
      <c r="A689" s="32"/>
      <c r="B689" s="9"/>
      <c r="C689" s="110"/>
      <c r="D689" s="134"/>
      <c r="E689" s="135"/>
      <c r="F689" s="9"/>
      <c r="G689" s="9"/>
      <c r="H689" s="9"/>
      <c r="I689" s="9"/>
      <c r="J689" s="9"/>
      <c r="K689" s="9"/>
      <c r="L689" s="9"/>
      <c r="M689" s="9"/>
      <c r="N689" s="9"/>
      <c r="O689" s="9"/>
      <c r="P689" s="9"/>
      <c r="Q689" s="9"/>
      <c r="R689" s="9"/>
      <c r="S689" s="9"/>
      <c r="T689" s="9"/>
      <c r="U689" s="9"/>
      <c r="V689" s="9"/>
      <c r="W689" s="9"/>
      <c r="X689" s="9"/>
      <c r="Y689" s="9"/>
      <c r="Z689" s="9"/>
    </row>
    <row r="690" ht="15.75" customHeight="1">
      <c r="A690" s="32"/>
      <c r="B690" s="9"/>
      <c r="C690" s="110"/>
      <c r="D690" s="134"/>
      <c r="E690" s="135"/>
      <c r="F690" s="9"/>
      <c r="G690" s="9"/>
      <c r="H690" s="9"/>
      <c r="I690" s="9"/>
      <c r="J690" s="9"/>
      <c r="K690" s="9"/>
      <c r="L690" s="9"/>
      <c r="M690" s="9"/>
      <c r="N690" s="9"/>
      <c r="O690" s="9"/>
      <c r="P690" s="9"/>
      <c r="Q690" s="9"/>
      <c r="R690" s="9"/>
      <c r="S690" s="9"/>
      <c r="T690" s="9"/>
      <c r="U690" s="9"/>
      <c r="V690" s="9"/>
      <c r="W690" s="9"/>
      <c r="X690" s="9"/>
      <c r="Y690" s="9"/>
      <c r="Z690" s="9"/>
    </row>
    <row r="691" ht="15.75" customHeight="1">
      <c r="A691" s="32"/>
      <c r="B691" s="9"/>
      <c r="C691" s="110"/>
      <c r="D691" s="134"/>
      <c r="E691" s="135"/>
      <c r="F691" s="9"/>
      <c r="G691" s="9"/>
      <c r="H691" s="9"/>
      <c r="I691" s="9"/>
      <c r="J691" s="9"/>
      <c r="K691" s="9"/>
      <c r="L691" s="9"/>
      <c r="M691" s="9"/>
      <c r="N691" s="9"/>
      <c r="O691" s="9"/>
      <c r="P691" s="9"/>
      <c r="Q691" s="9"/>
      <c r="R691" s="9"/>
      <c r="S691" s="9"/>
      <c r="T691" s="9"/>
      <c r="U691" s="9"/>
      <c r="V691" s="9"/>
      <c r="W691" s="9"/>
      <c r="X691" s="9"/>
      <c r="Y691" s="9"/>
      <c r="Z691" s="9"/>
    </row>
    <row r="692" ht="15.75" customHeight="1">
      <c r="A692" s="32"/>
      <c r="B692" s="9"/>
      <c r="C692" s="110"/>
      <c r="D692" s="134"/>
      <c r="E692" s="135"/>
      <c r="F692" s="9"/>
      <c r="G692" s="9"/>
      <c r="H692" s="9"/>
      <c r="I692" s="9"/>
      <c r="J692" s="9"/>
      <c r="K692" s="9"/>
      <c r="L692" s="9"/>
      <c r="M692" s="9"/>
      <c r="N692" s="9"/>
      <c r="O692" s="9"/>
      <c r="P692" s="9"/>
      <c r="Q692" s="9"/>
      <c r="R692" s="9"/>
      <c r="S692" s="9"/>
      <c r="T692" s="9"/>
      <c r="U692" s="9"/>
      <c r="V692" s="9"/>
      <c r="W692" s="9"/>
      <c r="X692" s="9"/>
      <c r="Y692" s="9"/>
      <c r="Z692" s="9"/>
    </row>
    <row r="693" ht="15.75" customHeight="1">
      <c r="A693" s="32"/>
      <c r="B693" s="9"/>
      <c r="C693" s="110"/>
      <c r="D693" s="134"/>
      <c r="E693" s="135"/>
      <c r="F693" s="9"/>
      <c r="G693" s="9"/>
      <c r="H693" s="9"/>
      <c r="I693" s="9"/>
      <c r="J693" s="9"/>
      <c r="K693" s="9"/>
      <c r="L693" s="9"/>
      <c r="M693" s="9"/>
      <c r="N693" s="9"/>
      <c r="O693" s="9"/>
      <c r="P693" s="9"/>
      <c r="Q693" s="9"/>
      <c r="R693" s="9"/>
      <c r="S693" s="9"/>
      <c r="T693" s="9"/>
      <c r="U693" s="9"/>
      <c r="V693" s="9"/>
      <c r="W693" s="9"/>
      <c r="X693" s="9"/>
      <c r="Y693" s="9"/>
      <c r="Z693" s="9"/>
    </row>
    <row r="694" ht="15.75" customHeight="1">
      <c r="A694" s="32"/>
      <c r="B694" s="9"/>
      <c r="C694" s="110"/>
      <c r="D694" s="134"/>
      <c r="E694" s="135"/>
      <c r="F694" s="9"/>
      <c r="G694" s="9"/>
      <c r="H694" s="9"/>
      <c r="I694" s="9"/>
      <c r="J694" s="9"/>
      <c r="K694" s="9"/>
      <c r="L694" s="9"/>
      <c r="M694" s="9"/>
      <c r="N694" s="9"/>
      <c r="O694" s="9"/>
      <c r="P694" s="9"/>
      <c r="Q694" s="9"/>
      <c r="R694" s="9"/>
      <c r="S694" s="9"/>
      <c r="T694" s="9"/>
      <c r="U694" s="9"/>
      <c r="V694" s="9"/>
      <c r="W694" s="9"/>
      <c r="X694" s="9"/>
      <c r="Y694" s="9"/>
      <c r="Z694" s="9"/>
    </row>
    <row r="695" ht="15.75" customHeight="1">
      <c r="A695" s="32"/>
      <c r="B695" s="9"/>
      <c r="C695" s="110"/>
      <c r="D695" s="134"/>
      <c r="E695" s="135"/>
      <c r="F695" s="9"/>
      <c r="G695" s="9"/>
      <c r="H695" s="9"/>
      <c r="I695" s="9"/>
      <c r="J695" s="9"/>
      <c r="K695" s="9"/>
      <c r="L695" s="9"/>
      <c r="M695" s="9"/>
      <c r="N695" s="9"/>
      <c r="O695" s="9"/>
      <c r="P695" s="9"/>
      <c r="Q695" s="9"/>
      <c r="R695" s="9"/>
      <c r="S695" s="9"/>
      <c r="T695" s="9"/>
      <c r="U695" s="9"/>
      <c r="V695" s="9"/>
      <c r="W695" s="9"/>
      <c r="X695" s="9"/>
      <c r="Y695" s="9"/>
      <c r="Z695" s="9"/>
    </row>
    <row r="696" ht="15.75" customHeight="1">
      <c r="A696" s="32"/>
      <c r="B696" s="9"/>
      <c r="C696" s="110"/>
      <c r="D696" s="134"/>
      <c r="E696" s="135"/>
      <c r="F696" s="9"/>
      <c r="G696" s="9"/>
      <c r="H696" s="9"/>
      <c r="I696" s="9"/>
      <c r="J696" s="9"/>
      <c r="K696" s="9"/>
      <c r="L696" s="9"/>
      <c r="M696" s="9"/>
      <c r="N696" s="9"/>
      <c r="O696" s="9"/>
      <c r="P696" s="9"/>
      <c r="Q696" s="9"/>
      <c r="R696" s="9"/>
      <c r="S696" s="9"/>
      <c r="T696" s="9"/>
      <c r="U696" s="9"/>
      <c r="V696" s="9"/>
      <c r="W696" s="9"/>
      <c r="X696" s="9"/>
      <c r="Y696" s="9"/>
      <c r="Z696" s="9"/>
    </row>
    <row r="697" ht="15.75" customHeight="1">
      <c r="A697" s="32"/>
      <c r="B697" s="9"/>
      <c r="C697" s="110"/>
      <c r="D697" s="134"/>
      <c r="E697" s="135"/>
      <c r="F697" s="9"/>
      <c r="G697" s="9"/>
      <c r="H697" s="9"/>
      <c r="I697" s="9"/>
      <c r="J697" s="9"/>
      <c r="K697" s="9"/>
      <c r="L697" s="9"/>
      <c r="M697" s="9"/>
      <c r="N697" s="9"/>
      <c r="O697" s="9"/>
      <c r="P697" s="9"/>
      <c r="Q697" s="9"/>
      <c r="R697" s="9"/>
      <c r="S697" s="9"/>
      <c r="T697" s="9"/>
      <c r="U697" s="9"/>
      <c r="V697" s="9"/>
      <c r="W697" s="9"/>
      <c r="X697" s="9"/>
      <c r="Y697" s="9"/>
      <c r="Z697" s="9"/>
    </row>
    <row r="698" ht="15.75" customHeight="1">
      <c r="A698" s="32"/>
      <c r="B698" s="9"/>
      <c r="C698" s="110"/>
      <c r="D698" s="134"/>
      <c r="E698" s="135"/>
      <c r="F698" s="9"/>
      <c r="G698" s="9"/>
      <c r="H698" s="9"/>
      <c r="I698" s="9"/>
      <c r="J698" s="9"/>
      <c r="K698" s="9"/>
      <c r="L698" s="9"/>
      <c r="M698" s="9"/>
      <c r="N698" s="9"/>
      <c r="O698" s="9"/>
      <c r="P698" s="9"/>
      <c r="Q698" s="9"/>
      <c r="R698" s="9"/>
      <c r="S698" s="9"/>
      <c r="T698" s="9"/>
      <c r="U698" s="9"/>
      <c r="V698" s="9"/>
      <c r="W698" s="9"/>
      <c r="X698" s="9"/>
      <c r="Y698" s="9"/>
      <c r="Z698" s="9"/>
    </row>
    <row r="699" ht="15.75" customHeight="1">
      <c r="A699" s="32"/>
      <c r="B699" s="9"/>
      <c r="C699" s="110"/>
      <c r="D699" s="134"/>
      <c r="E699" s="135"/>
      <c r="F699" s="9"/>
      <c r="G699" s="9"/>
      <c r="H699" s="9"/>
      <c r="I699" s="9"/>
      <c r="J699" s="9"/>
      <c r="K699" s="9"/>
      <c r="L699" s="9"/>
      <c r="M699" s="9"/>
      <c r="N699" s="9"/>
      <c r="O699" s="9"/>
      <c r="P699" s="9"/>
      <c r="Q699" s="9"/>
      <c r="R699" s="9"/>
      <c r="S699" s="9"/>
      <c r="T699" s="9"/>
      <c r="U699" s="9"/>
      <c r="V699" s="9"/>
      <c r="W699" s="9"/>
      <c r="X699" s="9"/>
      <c r="Y699" s="9"/>
      <c r="Z699" s="9"/>
    </row>
    <row r="700" ht="15.75" customHeight="1">
      <c r="A700" s="32"/>
      <c r="B700" s="9"/>
      <c r="C700" s="110"/>
      <c r="D700" s="134"/>
      <c r="E700" s="135"/>
      <c r="F700" s="9"/>
      <c r="G700" s="9"/>
      <c r="H700" s="9"/>
      <c r="I700" s="9"/>
      <c r="J700" s="9"/>
      <c r="K700" s="9"/>
      <c r="L700" s="9"/>
      <c r="M700" s="9"/>
      <c r="N700" s="9"/>
      <c r="O700" s="9"/>
      <c r="P700" s="9"/>
      <c r="Q700" s="9"/>
      <c r="R700" s="9"/>
      <c r="S700" s="9"/>
      <c r="T700" s="9"/>
      <c r="U700" s="9"/>
      <c r="V700" s="9"/>
      <c r="W700" s="9"/>
      <c r="X700" s="9"/>
      <c r="Y700" s="9"/>
      <c r="Z700" s="9"/>
    </row>
    <row r="701" ht="15.75" customHeight="1">
      <c r="A701" s="32"/>
      <c r="B701" s="9"/>
      <c r="C701" s="110"/>
      <c r="D701" s="134"/>
      <c r="E701" s="135"/>
      <c r="F701" s="9"/>
      <c r="G701" s="9"/>
      <c r="H701" s="9"/>
      <c r="I701" s="9"/>
      <c r="J701" s="9"/>
      <c r="K701" s="9"/>
      <c r="L701" s="9"/>
      <c r="M701" s="9"/>
      <c r="N701" s="9"/>
      <c r="O701" s="9"/>
      <c r="P701" s="9"/>
      <c r="Q701" s="9"/>
      <c r="R701" s="9"/>
      <c r="S701" s="9"/>
      <c r="T701" s="9"/>
      <c r="U701" s="9"/>
      <c r="V701" s="9"/>
      <c r="W701" s="9"/>
      <c r="X701" s="9"/>
      <c r="Y701" s="9"/>
      <c r="Z701" s="9"/>
    </row>
    <row r="702" ht="15.75" customHeight="1">
      <c r="A702" s="32"/>
      <c r="B702" s="9"/>
      <c r="C702" s="110"/>
      <c r="D702" s="134"/>
      <c r="E702" s="135"/>
      <c r="F702" s="9"/>
      <c r="G702" s="9"/>
      <c r="H702" s="9"/>
      <c r="I702" s="9"/>
      <c r="J702" s="9"/>
      <c r="K702" s="9"/>
      <c r="L702" s="9"/>
      <c r="M702" s="9"/>
      <c r="N702" s="9"/>
      <c r="O702" s="9"/>
      <c r="P702" s="9"/>
      <c r="Q702" s="9"/>
      <c r="R702" s="9"/>
      <c r="S702" s="9"/>
      <c r="T702" s="9"/>
      <c r="U702" s="9"/>
      <c r="V702" s="9"/>
      <c r="W702" s="9"/>
      <c r="X702" s="9"/>
      <c r="Y702" s="9"/>
      <c r="Z702" s="9"/>
    </row>
    <row r="703" ht="15.75" customHeight="1">
      <c r="A703" s="32"/>
      <c r="B703" s="9"/>
      <c r="C703" s="110"/>
      <c r="D703" s="134"/>
      <c r="E703" s="135"/>
      <c r="F703" s="9"/>
      <c r="G703" s="9"/>
      <c r="H703" s="9"/>
      <c r="I703" s="9"/>
      <c r="J703" s="9"/>
      <c r="K703" s="9"/>
      <c r="L703" s="9"/>
      <c r="M703" s="9"/>
      <c r="N703" s="9"/>
      <c r="O703" s="9"/>
      <c r="P703" s="9"/>
      <c r="Q703" s="9"/>
      <c r="R703" s="9"/>
      <c r="S703" s="9"/>
      <c r="T703" s="9"/>
      <c r="U703" s="9"/>
      <c r="V703" s="9"/>
      <c r="W703" s="9"/>
      <c r="X703" s="9"/>
      <c r="Y703" s="9"/>
      <c r="Z703" s="9"/>
    </row>
    <row r="704" ht="15.75" customHeight="1">
      <c r="A704" s="32"/>
      <c r="B704" s="9"/>
      <c r="C704" s="110"/>
      <c r="D704" s="134"/>
      <c r="E704" s="135"/>
      <c r="F704" s="9"/>
      <c r="G704" s="9"/>
      <c r="H704" s="9"/>
      <c r="I704" s="9"/>
      <c r="J704" s="9"/>
      <c r="K704" s="9"/>
      <c r="L704" s="9"/>
      <c r="M704" s="9"/>
      <c r="N704" s="9"/>
      <c r="O704" s="9"/>
      <c r="P704" s="9"/>
      <c r="Q704" s="9"/>
      <c r="R704" s="9"/>
      <c r="S704" s="9"/>
      <c r="T704" s="9"/>
      <c r="U704" s="9"/>
      <c r="V704" s="9"/>
      <c r="W704" s="9"/>
      <c r="X704" s="9"/>
      <c r="Y704" s="9"/>
      <c r="Z704" s="9"/>
    </row>
    <row r="705" ht="15.75" customHeight="1">
      <c r="A705" s="32"/>
      <c r="B705" s="9"/>
      <c r="C705" s="110"/>
      <c r="D705" s="134"/>
      <c r="E705" s="135"/>
      <c r="F705" s="9"/>
      <c r="G705" s="9"/>
      <c r="H705" s="9"/>
      <c r="I705" s="9"/>
      <c r="J705" s="9"/>
      <c r="K705" s="9"/>
      <c r="L705" s="9"/>
      <c r="M705" s="9"/>
      <c r="N705" s="9"/>
      <c r="O705" s="9"/>
      <c r="P705" s="9"/>
      <c r="Q705" s="9"/>
      <c r="R705" s="9"/>
      <c r="S705" s="9"/>
      <c r="T705" s="9"/>
      <c r="U705" s="9"/>
      <c r="V705" s="9"/>
      <c r="W705" s="9"/>
      <c r="X705" s="9"/>
      <c r="Y705" s="9"/>
      <c r="Z705" s="9"/>
    </row>
    <row r="706" ht="15.75" customHeight="1">
      <c r="A706" s="32"/>
      <c r="B706" s="9"/>
      <c r="C706" s="110"/>
      <c r="D706" s="134"/>
      <c r="E706" s="135"/>
      <c r="F706" s="9"/>
      <c r="G706" s="9"/>
      <c r="H706" s="9"/>
      <c r="I706" s="9"/>
      <c r="J706" s="9"/>
      <c r="K706" s="9"/>
      <c r="L706" s="9"/>
      <c r="M706" s="9"/>
      <c r="N706" s="9"/>
      <c r="O706" s="9"/>
      <c r="P706" s="9"/>
      <c r="Q706" s="9"/>
      <c r="R706" s="9"/>
      <c r="S706" s="9"/>
      <c r="T706" s="9"/>
      <c r="U706" s="9"/>
      <c r="V706" s="9"/>
      <c r="W706" s="9"/>
      <c r="X706" s="9"/>
      <c r="Y706" s="9"/>
      <c r="Z706" s="9"/>
    </row>
    <row r="707" ht="15.75" customHeight="1">
      <c r="A707" s="32"/>
      <c r="B707" s="9"/>
      <c r="C707" s="110"/>
      <c r="D707" s="134"/>
      <c r="E707" s="135"/>
      <c r="F707" s="9"/>
      <c r="G707" s="9"/>
      <c r="H707" s="9"/>
      <c r="I707" s="9"/>
      <c r="J707" s="9"/>
      <c r="K707" s="9"/>
      <c r="L707" s="9"/>
      <c r="M707" s="9"/>
      <c r="N707" s="9"/>
      <c r="O707" s="9"/>
      <c r="P707" s="9"/>
      <c r="Q707" s="9"/>
      <c r="R707" s="9"/>
      <c r="S707" s="9"/>
      <c r="T707" s="9"/>
      <c r="U707" s="9"/>
      <c r="V707" s="9"/>
      <c r="W707" s="9"/>
      <c r="X707" s="9"/>
      <c r="Y707" s="9"/>
      <c r="Z707" s="9"/>
    </row>
    <row r="708" ht="15.75" customHeight="1">
      <c r="A708" s="32"/>
      <c r="B708" s="9"/>
      <c r="C708" s="110"/>
      <c r="D708" s="134"/>
      <c r="E708" s="135"/>
      <c r="F708" s="9"/>
      <c r="G708" s="9"/>
      <c r="H708" s="9"/>
      <c r="I708" s="9"/>
      <c r="J708" s="9"/>
      <c r="K708" s="9"/>
      <c r="L708" s="9"/>
      <c r="M708" s="9"/>
      <c r="N708" s="9"/>
      <c r="O708" s="9"/>
      <c r="P708" s="9"/>
      <c r="Q708" s="9"/>
      <c r="R708" s="9"/>
      <c r="S708" s="9"/>
      <c r="T708" s="9"/>
      <c r="U708" s="9"/>
      <c r="V708" s="9"/>
      <c r="W708" s="9"/>
      <c r="X708" s="9"/>
      <c r="Y708" s="9"/>
      <c r="Z708" s="9"/>
    </row>
    <row r="709" ht="15.75" customHeight="1">
      <c r="A709" s="32"/>
      <c r="B709" s="9"/>
      <c r="C709" s="110"/>
      <c r="D709" s="134"/>
      <c r="E709" s="135"/>
      <c r="F709" s="9"/>
      <c r="G709" s="9"/>
      <c r="H709" s="9"/>
      <c r="I709" s="9"/>
      <c r="J709" s="9"/>
      <c r="K709" s="9"/>
      <c r="L709" s="9"/>
      <c r="M709" s="9"/>
      <c r="N709" s="9"/>
      <c r="O709" s="9"/>
      <c r="P709" s="9"/>
      <c r="Q709" s="9"/>
      <c r="R709" s="9"/>
      <c r="S709" s="9"/>
      <c r="T709" s="9"/>
      <c r="U709" s="9"/>
      <c r="V709" s="9"/>
      <c r="W709" s="9"/>
      <c r="X709" s="9"/>
      <c r="Y709" s="9"/>
      <c r="Z709" s="9"/>
    </row>
    <row r="710" ht="15.75" customHeight="1">
      <c r="A710" s="32"/>
      <c r="B710" s="9"/>
      <c r="C710" s="110"/>
      <c r="D710" s="134"/>
      <c r="E710" s="135"/>
      <c r="F710" s="9"/>
      <c r="G710" s="9"/>
      <c r="H710" s="9"/>
      <c r="I710" s="9"/>
      <c r="J710" s="9"/>
      <c r="K710" s="9"/>
      <c r="L710" s="9"/>
      <c r="M710" s="9"/>
      <c r="N710" s="9"/>
      <c r="O710" s="9"/>
      <c r="P710" s="9"/>
      <c r="Q710" s="9"/>
      <c r="R710" s="9"/>
      <c r="S710" s="9"/>
      <c r="T710" s="9"/>
      <c r="U710" s="9"/>
      <c r="V710" s="9"/>
      <c r="W710" s="9"/>
      <c r="X710" s="9"/>
      <c r="Y710" s="9"/>
      <c r="Z710" s="9"/>
    </row>
    <row r="711" ht="15.75" customHeight="1">
      <c r="A711" s="32"/>
      <c r="B711" s="9"/>
      <c r="C711" s="110"/>
      <c r="D711" s="134"/>
      <c r="E711" s="135"/>
      <c r="F711" s="9"/>
      <c r="G711" s="9"/>
      <c r="H711" s="9"/>
      <c r="I711" s="9"/>
      <c r="J711" s="9"/>
      <c r="K711" s="9"/>
      <c r="L711" s="9"/>
      <c r="M711" s="9"/>
      <c r="N711" s="9"/>
      <c r="O711" s="9"/>
      <c r="P711" s="9"/>
      <c r="Q711" s="9"/>
      <c r="R711" s="9"/>
      <c r="S711" s="9"/>
      <c r="T711" s="9"/>
      <c r="U711" s="9"/>
      <c r="V711" s="9"/>
      <c r="W711" s="9"/>
      <c r="X711" s="9"/>
      <c r="Y711" s="9"/>
      <c r="Z711" s="9"/>
    </row>
    <row r="712" ht="15.75" customHeight="1">
      <c r="A712" s="32"/>
      <c r="B712" s="9"/>
      <c r="C712" s="110"/>
      <c r="D712" s="134"/>
      <c r="E712" s="135"/>
      <c r="F712" s="9"/>
      <c r="G712" s="9"/>
      <c r="H712" s="9"/>
      <c r="I712" s="9"/>
      <c r="J712" s="9"/>
      <c r="K712" s="9"/>
      <c r="L712" s="9"/>
      <c r="M712" s="9"/>
      <c r="N712" s="9"/>
      <c r="O712" s="9"/>
      <c r="P712" s="9"/>
      <c r="Q712" s="9"/>
      <c r="R712" s="9"/>
      <c r="S712" s="9"/>
      <c r="T712" s="9"/>
      <c r="U712" s="9"/>
      <c r="V712" s="9"/>
      <c r="W712" s="9"/>
      <c r="X712" s="9"/>
      <c r="Y712" s="9"/>
      <c r="Z712" s="9"/>
    </row>
    <row r="713" ht="15.75" customHeight="1">
      <c r="A713" s="32"/>
      <c r="B713" s="9"/>
      <c r="C713" s="110"/>
      <c r="D713" s="134"/>
      <c r="E713" s="135"/>
      <c r="F713" s="9"/>
      <c r="G713" s="9"/>
      <c r="H713" s="9"/>
      <c r="I713" s="9"/>
      <c r="J713" s="9"/>
      <c r="K713" s="9"/>
      <c r="L713" s="9"/>
      <c r="M713" s="9"/>
      <c r="N713" s="9"/>
      <c r="O713" s="9"/>
      <c r="P713" s="9"/>
      <c r="Q713" s="9"/>
      <c r="R713" s="9"/>
      <c r="S713" s="9"/>
      <c r="T713" s="9"/>
      <c r="U713" s="9"/>
      <c r="V713" s="9"/>
      <c r="W713" s="9"/>
      <c r="X713" s="9"/>
      <c r="Y713" s="9"/>
      <c r="Z713" s="9"/>
    </row>
    <row r="714" ht="15.75" customHeight="1">
      <c r="A714" s="32"/>
      <c r="B714" s="9"/>
      <c r="C714" s="110"/>
      <c r="D714" s="134"/>
      <c r="E714" s="135"/>
      <c r="F714" s="9"/>
      <c r="G714" s="9"/>
      <c r="H714" s="9"/>
      <c r="I714" s="9"/>
      <c r="J714" s="9"/>
      <c r="K714" s="9"/>
      <c r="L714" s="9"/>
      <c r="M714" s="9"/>
      <c r="N714" s="9"/>
      <c r="O714" s="9"/>
      <c r="P714" s="9"/>
      <c r="Q714" s="9"/>
      <c r="R714" s="9"/>
      <c r="S714" s="9"/>
      <c r="T714" s="9"/>
      <c r="U714" s="9"/>
      <c r="V714" s="9"/>
      <c r="W714" s="9"/>
      <c r="X714" s="9"/>
      <c r="Y714" s="9"/>
      <c r="Z714" s="9"/>
    </row>
    <row r="715" ht="15.75" customHeight="1">
      <c r="A715" s="32"/>
      <c r="B715" s="9"/>
      <c r="C715" s="110"/>
      <c r="D715" s="134"/>
      <c r="E715" s="135"/>
      <c r="F715" s="9"/>
      <c r="G715" s="9"/>
      <c r="H715" s="9"/>
      <c r="I715" s="9"/>
      <c r="J715" s="9"/>
      <c r="K715" s="9"/>
      <c r="L715" s="9"/>
      <c r="M715" s="9"/>
      <c r="N715" s="9"/>
      <c r="O715" s="9"/>
      <c r="P715" s="9"/>
      <c r="Q715" s="9"/>
      <c r="R715" s="9"/>
      <c r="S715" s="9"/>
      <c r="T715" s="9"/>
      <c r="U715" s="9"/>
      <c r="V715" s="9"/>
      <c r="W715" s="9"/>
      <c r="X715" s="9"/>
      <c r="Y715" s="9"/>
      <c r="Z715" s="9"/>
    </row>
    <row r="716" ht="15.75" customHeight="1">
      <c r="A716" s="32"/>
      <c r="B716" s="9"/>
      <c r="C716" s="110"/>
      <c r="D716" s="134"/>
      <c r="E716" s="135"/>
      <c r="F716" s="9"/>
      <c r="G716" s="9"/>
      <c r="H716" s="9"/>
      <c r="I716" s="9"/>
      <c r="J716" s="9"/>
      <c r="K716" s="9"/>
      <c r="L716" s="9"/>
      <c r="M716" s="9"/>
      <c r="N716" s="9"/>
      <c r="O716" s="9"/>
      <c r="P716" s="9"/>
      <c r="Q716" s="9"/>
      <c r="R716" s="9"/>
      <c r="S716" s="9"/>
      <c r="T716" s="9"/>
      <c r="U716" s="9"/>
      <c r="V716" s="9"/>
      <c r="W716" s="9"/>
      <c r="X716" s="9"/>
      <c r="Y716" s="9"/>
      <c r="Z716" s="9"/>
    </row>
    <row r="717" ht="15.75" customHeight="1">
      <c r="A717" s="32"/>
      <c r="B717" s="9"/>
      <c r="C717" s="110"/>
      <c r="D717" s="134"/>
      <c r="E717" s="135"/>
      <c r="F717" s="9"/>
      <c r="G717" s="9"/>
      <c r="H717" s="9"/>
      <c r="I717" s="9"/>
      <c r="J717" s="9"/>
      <c r="K717" s="9"/>
      <c r="L717" s="9"/>
      <c r="M717" s="9"/>
      <c r="N717" s="9"/>
      <c r="O717" s="9"/>
      <c r="P717" s="9"/>
      <c r="Q717" s="9"/>
      <c r="R717" s="9"/>
      <c r="S717" s="9"/>
      <c r="T717" s="9"/>
      <c r="U717" s="9"/>
      <c r="V717" s="9"/>
      <c r="W717" s="9"/>
      <c r="X717" s="9"/>
      <c r="Y717" s="9"/>
      <c r="Z717" s="9"/>
    </row>
    <row r="718" ht="15.75" customHeight="1">
      <c r="A718" s="32"/>
      <c r="B718" s="9"/>
      <c r="C718" s="110"/>
      <c r="D718" s="134"/>
      <c r="E718" s="135"/>
      <c r="F718" s="9"/>
      <c r="G718" s="9"/>
      <c r="H718" s="9"/>
      <c r="I718" s="9"/>
      <c r="J718" s="9"/>
      <c r="K718" s="9"/>
      <c r="L718" s="9"/>
      <c r="M718" s="9"/>
      <c r="N718" s="9"/>
      <c r="O718" s="9"/>
      <c r="P718" s="9"/>
      <c r="Q718" s="9"/>
      <c r="R718" s="9"/>
      <c r="S718" s="9"/>
      <c r="T718" s="9"/>
      <c r="U718" s="9"/>
      <c r="V718" s="9"/>
      <c r="W718" s="9"/>
      <c r="X718" s="9"/>
      <c r="Y718" s="9"/>
      <c r="Z718" s="9"/>
    </row>
    <row r="719" ht="15.75" customHeight="1">
      <c r="A719" s="32"/>
      <c r="B719" s="9"/>
      <c r="C719" s="110"/>
      <c r="D719" s="134"/>
      <c r="E719" s="135"/>
      <c r="F719" s="9"/>
      <c r="G719" s="9"/>
      <c r="H719" s="9"/>
      <c r="I719" s="9"/>
      <c r="J719" s="9"/>
      <c r="K719" s="9"/>
      <c r="L719" s="9"/>
      <c r="M719" s="9"/>
      <c r="N719" s="9"/>
      <c r="O719" s="9"/>
      <c r="P719" s="9"/>
      <c r="Q719" s="9"/>
      <c r="R719" s="9"/>
      <c r="S719" s="9"/>
      <c r="T719" s="9"/>
      <c r="U719" s="9"/>
      <c r="V719" s="9"/>
      <c r="W719" s="9"/>
      <c r="X719" s="9"/>
      <c r="Y719" s="9"/>
      <c r="Z719" s="9"/>
    </row>
    <row r="720" ht="15.75" customHeight="1">
      <c r="A720" s="32"/>
      <c r="B720" s="9"/>
      <c r="C720" s="110"/>
      <c r="D720" s="134"/>
      <c r="E720" s="135"/>
      <c r="F720" s="9"/>
      <c r="G720" s="9"/>
      <c r="H720" s="9"/>
      <c r="I720" s="9"/>
      <c r="J720" s="9"/>
      <c r="K720" s="9"/>
      <c r="L720" s="9"/>
      <c r="M720" s="9"/>
      <c r="N720" s="9"/>
      <c r="O720" s="9"/>
      <c r="P720" s="9"/>
      <c r="Q720" s="9"/>
      <c r="R720" s="9"/>
      <c r="S720" s="9"/>
      <c r="T720" s="9"/>
      <c r="U720" s="9"/>
      <c r="V720" s="9"/>
      <c r="W720" s="9"/>
      <c r="X720" s="9"/>
      <c r="Y720" s="9"/>
      <c r="Z720" s="9"/>
    </row>
    <row r="721" ht="15.75" customHeight="1">
      <c r="A721" s="32"/>
      <c r="B721" s="9"/>
      <c r="C721" s="110"/>
      <c r="D721" s="134"/>
      <c r="E721" s="135"/>
      <c r="F721" s="9"/>
      <c r="G721" s="9"/>
      <c r="H721" s="9"/>
      <c r="I721" s="9"/>
      <c r="J721" s="9"/>
      <c r="K721" s="9"/>
      <c r="L721" s="9"/>
      <c r="M721" s="9"/>
      <c r="N721" s="9"/>
      <c r="O721" s="9"/>
      <c r="P721" s="9"/>
      <c r="Q721" s="9"/>
      <c r="R721" s="9"/>
      <c r="S721" s="9"/>
      <c r="T721" s="9"/>
      <c r="U721" s="9"/>
      <c r="V721" s="9"/>
      <c r="W721" s="9"/>
      <c r="X721" s="9"/>
      <c r="Y721" s="9"/>
      <c r="Z721" s="9"/>
    </row>
    <row r="722" ht="15.75" customHeight="1">
      <c r="A722" s="32"/>
      <c r="B722" s="9"/>
      <c r="C722" s="110"/>
      <c r="D722" s="134"/>
      <c r="E722" s="135"/>
      <c r="F722" s="9"/>
      <c r="G722" s="9"/>
      <c r="H722" s="9"/>
      <c r="I722" s="9"/>
      <c r="J722" s="9"/>
      <c r="K722" s="9"/>
      <c r="L722" s="9"/>
      <c r="M722" s="9"/>
      <c r="N722" s="9"/>
      <c r="O722" s="9"/>
      <c r="P722" s="9"/>
      <c r="Q722" s="9"/>
      <c r="R722" s="9"/>
      <c r="S722" s="9"/>
      <c r="T722" s="9"/>
      <c r="U722" s="9"/>
      <c r="V722" s="9"/>
      <c r="W722" s="9"/>
      <c r="X722" s="9"/>
      <c r="Y722" s="9"/>
      <c r="Z722" s="9"/>
    </row>
    <row r="723" ht="15.75" customHeight="1">
      <c r="A723" s="32"/>
      <c r="B723" s="9"/>
      <c r="C723" s="110"/>
      <c r="D723" s="134"/>
      <c r="E723" s="135"/>
      <c r="F723" s="9"/>
      <c r="G723" s="9"/>
      <c r="H723" s="9"/>
      <c r="I723" s="9"/>
      <c r="J723" s="9"/>
      <c r="K723" s="9"/>
      <c r="L723" s="9"/>
      <c r="M723" s="9"/>
      <c r="N723" s="9"/>
      <c r="O723" s="9"/>
      <c r="P723" s="9"/>
      <c r="Q723" s="9"/>
      <c r="R723" s="9"/>
      <c r="S723" s="9"/>
      <c r="T723" s="9"/>
      <c r="U723" s="9"/>
      <c r="V723" s="9"/>
      <c r="W723" s="9"/>
      <c r="X723" s="9"/>
      <c r="Y723" s="9"/>
      <c r="Z723" s="9"/>
    </row>
    <row r="724" ht="15.75" customHeight="1">
      <c r="A724" s="32"/>
      <c r="B724" s="9"/>
      <c r="C724" s="110"/>
      <c r="D724" s="134"/>
      <c r="E724" s="135"/>
      <c r="F724" s="9"/>
      <c r="G724" s="9"/>
      <c r="H724" s="9"/>
      <c r="I724" s="9"/>
      <c r="J724" s="9"/>
      <c r="K724" s="9"/>
      <c r="L724" s="9"/>
      <c r="M724" s="9"/>
      <c r="N724" s="9"/>
      <c r="O724" s="9"/>
      <c r="P724" s="9"/>
      <c r="Q724" s="9"/>
      <c r="R724" s="9"/>
      <c r="S724" s="9"/>
      <c r="T724" s="9"/>
      <c r="U724" s="9"/>
      <c r="V724" s="9"/>
      <c r="W724" s="9"/>
      <c r="X724" s="9"/>
      <c r="Y724" s="9"/>
      <c r="Z724" s="9"/>
    </row>
    <row r="725" ht="15.75" customHeight="1">
      <c r="A725" s="32"/>
      <c r="B725" s="9"/>
      <c r="C725" s="110"/>
      <c r="D725" s="134"/>
      <c r="E725" s="135"/>
      <c r="F725" s="9"/>
      <c r="G725" s="9"/>
      <c r="H725" s="9"/>
      <c r="I725" s="9"/>
      <c r="J725" s="9"/>
      <c r="K725" s="9"/>
      <c r="L725" s="9"/>
      <c r="M725" s="9"/>
      <c r="N725" s="9"/>
      <c r="O725" s="9"/>
      <c r="P725" s="9"/>
      <c r="Q725" s="9"/>
      <c r="R725" s="9"/>
      <c r="S725" s="9"/>
      <c r="T725" s="9"/>
      <c r="U725" s="9"/>
      <c r="V725" s="9"/>
      <c r="W725" s="9"/>
      <c r="X725" s="9"/>
      <c r="Y725" s="9"/>
      <c r="Z725" s="9"/>
    </row>
    <row r="726" ht="15.75" customHeight="1">
      <c r="A726" s="32"/>
      <c r="B726" s="9"/>
      <c r="C726" s="110"/>
      <c r="D726" s="134"/>
      <c r="E726" s="135"/>
      <c r="F726" s="9"/>
      <c r="G726" s="9"/>
      <c r="H726" s="9"/>
      <c r="I726" s="9"/>
      <c r="J726" s="9"/>
      <c r="K726" s="9"/>
      <c r="L726" s="9"/>
      <c r="M726" s="9"/>
      <c r="N726" s="9"/>
      <c r="O726" s="9"/>
      <c r="P726" s="9"/>
      <c r="Q726" s="9"/>
      <c r="R726" s="9"/>
      <c r="S726" s="9"/>
      <c r="T726" s="9"/>
      <c r="U726" s="9"/>
      <c r="V726" s="9"/>
      <c r="W726" s="9"/>
      <c r="X726" s="9"/>
      <c r="Y726" s="9"/>
      <c r="Z726" s="9"/>
    </row>
    <row r="727" ht="15.75" customHeight="1">
      <c r="A727" s="32"/>
      <c r="B727" s="9"/>
      <c r="C727" s="110"/>
      <c r="D727" s="134"/>
      <c r="E727" s="135"/>
      <c r="F727" s="9"/>
      <c r="G727" s="9"/>
      <c r="H727" s="9"/>
      <c r="I727" s="9"/>
      <c r="J727" s="9"/>
      <c r="K727" s="9"/>
      <c r="L727" s="9"/>
      <c r="M727" s="9"/>
      <c r="N727" s="9"/>
      <c r="O727" s="9"/>
      <c r="P727" s="9"/>
      <c r="Q727" s="9"/>
      <c r="R727" s="9"/>
      <c r="S727" s="9"/>
      <c r="T727" s="9"/>
      <c r="U727" s="9"/>
      <c r="V727" s="9"/>
      <c r="W727" s="9"/>
      <c r="X727" s="9"/>
      <c r="Y727" s="9"/>
      <c r="Z727" s="9"/>
    </row>
    <row r="728" ht="15.75" customHeight="1">
      <c r="A728" s="32"/>
      <c r="B728" s="9"/>
      <c r="C728" s="110"/>
      <c r="D728" s="134"/>
      <c r="E728" s="135"/>
      <c r="F728" s="9"/>
      <c r="G728" s="9"/>
      <c r="H728" s="9"/>
      <c r="I728" s="9"/>
      <c r="J728" s="9"/>
      <c r="K728" s="9"/>
      <c r="L728" s="9"/>
      <c r="M728" s="9"/>
      <c r="N728" s="9"/>
      <c r="O728" s="9"/>
      <c r="P728" s="9"/>
      <c r="Q728" s="9"/>
      <c r="R728" s="9"/>
      <c r="S728" s="9"/>
      <c r="T728" s="9"/>
      <c r="U728" s="9"/>
      <c r="V728" s="9"/>
      <c r="W728" s="9"/>
      <c r="X728" s="9"/>
      <c r="Y728" s="9"/>
      <c r="Z728" s="9"/>
    </row>
    <row r="729" ht="15.75" customHeight="1">
      <c r="A729" s="32"/>
      <c r="B729" s="9"/>
      <c r="C729" s="110"/>
      <c r="D729" s="134"/>
      <c r="E729" s="135"/>
      <c r="F729" s="9"/>
      <c r="G729" s="9"/>
      <c r="H729" s="9"/>
      <c r="I729" s="9"/>
      <c r="J729" s="9"/>
      <c r="K729" s="9"/>
      <c r="L729" s="9"/>
      <c r="M729" s="9"/>
      <c r="N729" s="9"/>
      <c r="O729" s="9"/>
      <c r="P729" s="9"/>
      <c r="Q729" s="9"/>
      <c r="R729" s="9"/>
      <c r="S729" s="9"/>
      <c r="T729" s="9"/>
      <c r="U729" s="9"/>
      <c r="V729" s="9"/>
      <c r="W729" s="9"/>
      <c r="X729" s="9"/>
      <c r="Y729" s="9"/>
      <c r="Z729" s="9"/>
    </row>
    <row r="730" ht="15.75" customHeight="1">
      <c r="A730" s="32"/>
      <c r="B730" s="9"/>
      <c r="C730" s="110"/>
      <c r="D730" s="134"/>
      <c r="E730" s="135"/>
      <c r="F730" s="9"/>
      <c r="G730" s="9"/>
      <c r="H730" s="9"/>
      <c r="I730" s="9"/>
      <c r="J730" s="9"/>
      <c r="K730" s="9"/>
      <c r="L730" s="9"/>
      <c r="M730" s="9"/>
      <c r="N730" s="9"/>
      <c r="O730" s="9"/>
      <c r="P730" s="9"/>
      <c r="Q730" s="9"/>
      <c r="R730" s="9"/>
      <c r="S730" s="9"/>
      <c r="T730" s="9"/>
      <c r="U730" s="9"/>
      <c r="V730" s="9"/>
      <c r="W730" s="9"/>
      <c r="X730" s="9"/>
      <c r="Y730" s="9"/>
      <c r="Z730" s="9"/>
    </row>
    <row r="731" ht="15.75" customHeight="1">
      <c r="A731" s="32"/>
      <c r="B731" s="9"/>
      <c r="C731" s="110"/>
      <c r="D731" s="134"/>
      <c r="E731" s="135"/>
      <c r="F731" s="9"/>
      <c r="G731" s="9"/>
      <c r="H731" s="9"/>
      <c r="I731" s="9"/>
      <c r="J731" s="9"/>
      <c r="K731" s="9"/>
      <c r="L731" s="9"/>
      <c r="M731" s="9"/>
      <c r="N731" s="9"/>
      <c r="O731" s="9"/>
      <c r="P731" s="9"/>
      <c r="Q731" s="9"/>
      <c r="R731" s="9"/>
      <c r="S731" s="9"/>
      <c r="T731" s="9"/>
      <c r="U731" s="9"/>
      <c r="V731" s="9"/>
      <c r="W731" s="9"/>
      <c r="X731" s="9"/>
      <c r="Y731" s="9"/>
      <c r="Z731" s="9"/>
    </row>
    <row r="732" ht="15.75" customHeight="1">
      <c r="A732" s="32"/>
      <c r="B732" s="9"/>
      <c r="C732" s="110"/>
      <c r="D732" s="134"/>
      <c r="E732" s="135"/>
      <c r="F732" s="9"/>
      <c r="G732" s="9"/>
      <c r="H732" s="9"/>
      <c r="I732" s="9"/>
      <c r="J732" s="9"/>
      <c r="K732" s="9"/>
      <c r="L732" s="9"/>
      <c r="M732" s="9"/>
      <c r="N732" s="9"/>
      <c r="O732" s="9"/>
      <c r="P732" s="9"/>
      <c r="Q732" s="9"/>
      <c r="R732" s="9"/>
      <c r="S732" s="9"/>
      <c r="T732" s="9"/>
      <c r="U732" s="9"/>
      <c r="V732" s="9"/>
      <c r="W732" s="9"/>
      <c r="X732" s="9"/>
      <c r="Y732" s="9"/>
      <c r="Z732" s="9"/>
    </row>
    <row r="733" ht="15.75" customHeight="1">
      <c r="A733" s="32"/>
      <c r="B733" s="9"/>
      <c r="C733" s="110"/>
      <c r="D733" s="134"/>
      <c r="E733" s="135"/>
      <c r="F733" s="9"/>
      <c r="G733" s="9"/>
      <c r="H733" s="9"/>
      <c r="I733" s="9"/>
      <c r="J733" s="9"/>
      <c r="K733" s="9"/>
      <c r="L733" s="9"/>
      <c r="M733" s="9"/>
      <c r="N733" s="9"/>
      <c r="O733" s="9"/>
      <c r="P733" s="9"/>
      <c r="Q733" s="9"/>
      <c r="R733" s="9"/>
      <c r="S733" s="9"/>
      <c r="T733" s="9"/>
      <c r="U733" s="9"/>
      <c r="V733" s="9"/>
      <c r="W733" s="9"/>
      <c r="X733" s="9"/>
      <c r="Y733" s="9"/>
      <c r="Z733" s="9"/>
    </row>
    <row r="734" ht="15.75" customHeight="1">
      <c r="A734" s="32"/>
      <c r="B734" s="9"/>
      <c r="C734" s="110"/>
      <c r="D734" s="134"/>
      <c r="E734" s="135"/>
      <c r="F734" s="9"/>
      <c r="G734" s="9"/>
      <c r="H734" s="9"/>
      <c r="I734" s="9"/>
      <c r="J734" s="9"/>
      <c r="K734" s="9"/>
      <c r="L734" s="9"/>
      <c r="M734" s="9"/>
      <c r="N734" s="9"/>
      <c r="O734" s="9"/>
      <c r="P734" s="9"/>
      <c r="Q734" s="9"/>
      <c r="R734" s="9"/>
      <c r="S734" s="9"/>
      <c r="T734" s="9"/>
      <c r="U734" s="9"/>
      <c r="V734" s="9"/>
      <c r="W734" s="9"/>
      <c r="X734" s="9"/>
      <c r="Y734" s="9"/>
      <c r="Z734" s="9"/>
    </row>
    <row r="735" ht="15.75" customHeight="1">
      <c r="A735" s="32"/>
      <c r="B735" s="9"/>
      <c r="C735" s="110"/>
      <c r="D735" s="134"/>
      <c r="E735" s="135"/>
      <c r="F735" s="9"/>
      <c r="G735" s="9"/>
      <c r="H735" s="9"/>
      <c r="I735" s="9"/>
      <c r="J735" s="9"/>
      <c r="K735" s="9"/>
      <c r="L735" s="9"/>
      <c r="M735" s="9"/>
      <c r="N735" s="9"/>
      <c r="O735" s="9"/>
      <c r="P735" s="9"/>
      <c r="Q735" s="9"/>
      <c r="R735" s="9"/>
      <c r="S735" s="9"/>
      <c r="T735" s="9"/>
      <c r="U735" s="9"/>
      <c r="V735" s="9"/>
      <c r="W735" s="9"/>
      <c r="X735" s="9"/>
      <c r="Y735" s="9"/>
      <c r="Z735" s="9"/>
    </row>
    <row r="736" ht="15.75" customHeight="1">
      <c r="A736" s="32"/>
      <c r="B736" s="9"/>
      <c r="C736" s="110"/>
      <c r="D736" s="134"/>
      <c r="E736" s="135"/>
      <c r="F736" s="9"/>
      <c r="G736" s="9"/>
      <c r="H736" s="9"/>
      <c r="I736" s="9"/>
      <c r="J736" s="9"/>
      <c r="K736" s="9"/>
      <c r="L736" s="9"/>
      <c r="M736" s="9"/>
      <c r="N736" s="9"/>
      <c r="O736" s="9"/>
      <c r="P736" s="9"/>
      <c r="Q736" s="9"/>
      <c r="R736" s="9"/>
      <c r="S736" s="9"/>
      <c r="T736" s="9"/>
      <c r="U736" s="9"/>
      <c r="V736" s="9"/>
      <c r="W736" s="9"/>
      <c r="X736" s="9"/>
      <c r="Y736" s="9"/>
      <c r="Z736" s="9"/>
    </row>
    <row r="737" ht="15.75" customHeight="1">
      <c r="A737" s="32"/>
      <c r="B737" s="9"/>
      <c r="C737" s="110"/>
      <c r="D737" s="134"/>
      <c r="E737" s="135"/>
      <c r="F737" s="9"/>
      <c r="G737" s="9"/>
      <c r="H737" s="9"/>
      <c r="I737" s="9"/>
      <c r="J737" s="9"/>
      <c r="K737" s="9"/>
      <c r="L737" s="9"/>
      <c r="M737" s="9"/>
      <c r="N737" s="9"/>
      <c r="O737" s="9"/>
      <c r="P737" s="9"/>
      <c r="Q737" s="9"/>
      <c r="R737" s="9"/>
      <c r="S737" s="9"/>
      <c r="T737" s="9"/>
      <c r="U737" s="9"/>
      <c r="V737" s="9"/>
      <c r="W737" s="9"/>
      <c r="X737" s="9"/>
      <c r="Y737" s="9"/>
      <c r="Z737" s="9"/>
    </row>
    <row r="738" ht="15.75" customHeight="1">
      <c r="A738" s="32"/>
      <c r="B738" s="9"/>
      <c r="C738" s="110"/>
      <c r="D738" s="134"/>
      <c r="E738" s="135"/>
      <c r="F738" s="9"/>
      <c r="G738" s="9"/>
      <c r="H738" s="9"/>
      <c r="I738" s="9"/>
      <c r="J738" s="9"/>
      <c r="K738" s="9"/>
      <c r="L738" s="9"/>
      <c r="M738" s="9"/>
      <c r="N738" s="9"/>
      <c r="O738" s="9"/>
      <c r="P738" s="9"/>
      <c r="Q738" s="9"/>
      <c r="R738" s="9"/>
      <c r="S738" s="9"/>
      <c r="T738" s="9"/>
      <c r="U738" s="9"/>
      <c r="V738" s="9"/>
      <c r="W738" s="9"/>
      <c r="X738" s="9"/>
      <c r="Y738" s="9"/>
      <c r="Z738" s="9"/>
    </row>
    <row r="739" ht="15.75" customHeight="1">
      <c r="A739" s="32"/>
      <c r="B739" s="9"/>
      <c r="C739" s="110"/>
      <c r="D739" s="134"/>
      <c r="E739" s="135"/>
      <c r="F739" s="9"/>
      <c r="G739" s="9"/>
      <c r="H739" s="9"/>
      <c r="I739" s="9"/>
      <c r="J739" s="9"/>
      <c r="K739" s="9"/>
      <c r="L739" s="9"/>
      <c r="M739" s="9"/>
      <c r="N739" s="9"/>
      <c r="O739" s="9"/>
      <c r="P739" s="9"/>
      <c r="Q739" s="9"/>
      <c r="R739" s="9"/>
      <c r="S739" s="9"/>
      <c r="T739" s="9"/>
      <c r="U739" s="9"/>
      <c r="V739" s="9"/>
      <c r="W739" s="9"/>
      <c r="X739" s="9"/>
      <c r="Y739" s="9"/>
      <c r="Z739" s="9"/>
    </row>
    <row r="740" ht="15.75" customHeight="1">
      <c r="A740" s="32"/>
      <c r="B740" s="9"/>
      <c r="C740" s="110"/>
      <c r="D740" s="134"/>
      <c r="E740" s="135"/>
      <c r="F740" s="9"/>
      <c r="G740" s="9"/>
      <c r="H740" s="9"/>
      <c r="I740" s="9"/>
      <c r="J740" s="9"/>
      <c r="K740" s="9"/>
      <c r="L740" s="9"/>
      <c r="M740" s="9"/>
      <c r="N740" s="9"/>
      <c r="O740" s="9"/>
      <c r="P740" s="9"/>
      <c r="Q740" s="9"/>
      <c r="R740" s="9"/>
      <c r="S740" s="9"/>
      <c r="T740" s="9"/>
      <c r="U740" s="9"/>
      <c r="V740" s="9"/>
      <c r="W740" s="9"/>
      <c r="X740" s="9"/>
      <c r="Y740" s="9"/>
      <c r="Z740" s="9"/>
    </row>
    <row r="741" ht="15.75" customHeight="1">
      <c r="A741" s="32"/>
      <c r="B741" s="9"/>
      <c r="C741" s="110"/>
      <c r="D741" s="134"/>
      <c r="E741" s="135"/>
      <c r="F741" s="9"/>
      <c r="G741" s="9"/>
      <c r="H741" s="9"/>
      <c r="I741" s="9"/>
      <c r="J741" s="9"/>
      <c r="K741" s="9"/>
      <c r="L741" s="9"/>
      <c r="M741" s="9"/>
      <c r="N741" s="9"/>
      <c r="O741" s="9"/>
      <c r="P741" s="9"/>
      <c r="Q741" s="9"/>
      <c r="R741" s="9"/>
      <c r="S741" s="9"/>
      <c r="T741" s="9"/>
      <c r="U741" s="9"/>
      <c r="V741" s="9"/>
      <c r="W741" s="9"/>
      <c r="X741" s="9"/>
      <c r="Y741" s="9"/>
      <c r="Z741" s="9"/>
    </row>
    <row r="742" ht="15.75" customHeight="1">
      <c r="A742" s="32"/>
      <c r="B742" s="9"/>
      <c r="C742" s="110"/>
      <c r="D742" s="134"/>
      <c r="E742" s="135"/>
      <c r="F742" s="9"/>
      <c r="G742" s="9"/>
      <c r="H742" s="9"/>
      <c r="I742" s="9"/>
      <c r="J742" s="9"/>
      <c r="K742" s="9"/>
      <c r="L742" s="9"/>
      <c r="M742" s="9"/>
      <c r="N742" s="9"/>
      <c r="O742" s="9"/>
      <c r="P742" s="9"/>
      <c r="Q742" s="9"/>
      <c r="R742" s="9"/>
      <c r="S742" s="9"/>
      <c r="T742" s="9"/>
      <c r="U742" s="9"/>
      <c r="V742" s="9"/>
      <c r="W742" s="9"/>
      <c r="X742" s="9"/>
      <c r="Y742" s="9"/>
      <c r="Z742" s="9"/>
    </row>
    <row r="743" ht="15.75" customHeight="1">
      <c r="A743" s="32"/>
      <c r="B743" s="9"/>
      <c r="C743" s="110"/>
      <c r="D743" s="134"/>
      <c r="E743" s="135"/>
      <c r="F743" s="9"/>
      <c r="G743" s="9"/>
      <c r="H743" s="9"/>
      <c r="I743" s="9"/>
      <c r="J743" s="9"/>
      <c r="K743" s="9"/>
      <c r="L743" s="9"/>
      <c r="M743" s="9"/>
      <c r="N743" s="9"/>
      <c r="O743" s="9"/>
      <c r="P743" s="9"/>
      <c r="Q743" s="9"/>
      <c r="R743" s="9"/>
      <c r="S743" s="9"/>
      <c r="T743" s="9"/>
      <c r="U743" s="9"/>
      <c r="V743" s="9"/>
      <c r="W743" s="9"/>
      <c r="X743" s="9"/>
      <c r="Y743" s="9"/>
      <c r="Z743" s="9"/>
    </row>
    <row r="744" ht="15.75" customHeight="1">
      <c r="A744" s="32"/>
      <c r="B744" s="9"/>
      <c r="C744" s="110"/>
      <c r="D744" s="134"/>
      <c r="E744" s="135"/>
      <c r="F744" s="9"/>
      <c r="G744" s="9"/>
      <c r="H744" s="9"/>
      <c r="I744" s="9"/>
      <c r="J744" s="9"/>
      <c r="K744" s="9"/>
      <c r="L744" s="9"/>
      <c r="M744" s="9"/>
      <c r="N744" s="9"/>
      <c r="O744" s="9"/>
      <c r="P744" s="9"/>
      <c r="Q744" s="9"/>
      <c r="R744" s="9"/>
      <c r="S744" s="9"/>
      <c r="T744" s="9"/>
      <c r="U744" s="9"/>
      <c r="V744" s="9"/>
      <c r="W744" s="9"/>
      <c r="X744" s="9"/>
      <c r="Y744" s="9"/>
      <c r="Z744" s="9"/>
    </row>
    <row r="745" ht="15.75" customHeight="1">
      <c r="A745" s="32"/>
      <c r="B745" s="9"/>
      <c r="C745" s="110"/>
      <c r="D745" s="134"/>
      <c r="E745" s="135"/>
      <c r="F745" s="9"/>
      <c r="G745" s="9"/>
      <c r="H745" s="9"/>
      <c r="I745" s="9"/>
      <c r="J745" s="9"/>
      <c r="K745" s="9"/>
      <c r="L745" s="9"/>
      <c r="M745" s="9"/>
      <c r="N745" s="9"/>
      <c r="O745" s="9"/>
      <c r="P745" s="9"/>
      <c r="Q745" s="9"/>
      <c r="R745" s="9"/>
      <c r="S745" s="9"/>
      <c r="T745" s="9"/>
      <c r="U745" s="9"/>
      <c r="V745" s="9"/>
      <c r="W745" s="9"/>
      <c r="X745" s="9"/>
      <c r="Y745" s="9"/>
      <c r="Z745" s="9"/>
    </row>
    <row r="746" ht="15.75" customHeight="1">
      <c r="A746" s="32"/>
      <c r="B746" s="9"/>
      <c r="C746" s="110"/>
      <c r="D746" s="134"/>
      <c r="E746" s="135"/>
      <c r="F746" s="9"/>
      <c r="G746" s="9"/>
      <c r="H746" s="9"/>
      <c r="I746" s="9"/>
      <c r="J746" s="9"/>
      <c r="K746" s="9"/>
      <c r="L746" s="9"/>
      <c r="M746" s="9"/>
      <c r="N746" s="9"/>
      <c r="O746" s="9"/>
      <c r="P746" s="9"/>
      <c r="Q746" s="9"/>
      <c r="R746" s="9"/>
      <c r="S746" s="9"/>
      <c r="T746" s="9"/>
      <c r="U746" s="9"/>
      <c r="V746" s="9"/>
      <c r="W746" s="9"/>
      <c r="X746" s="9"/>
      <c r="Y746" s="9"/>
      <c r="Z746" s="9"/>
    </row>
    <row r="747" ht="15.75" customHeight="1">
      <c r="A747" s="32"/>
      <c r="B747" s="9"/>
      <c r="C747" s="110"/>
      <c r="D747" s="134"/>
      <c r="E747" s="135"/>
      <c r="F747" s="9"/>
      <c r="G747" s="9"/>
      <c r="H747" s="9"/>
      <c r="I747" s="9"/>
      <c r="J747" s="9"/>
      <c r="K747" s="9"/>
      <c r="L747" s="9"/>
      <c r="M747" s="9"/>
      <c r="N747" s="9"/>
      <c r="O747" s="9"/>
      <c r="P747" s="9"/>
      <c r="Q747" s="9"/>
      <c r="R747" s="9"/>
      <c r="S747" s="9"/>
      <c r="T747" s="9"/>
      <c r="U747" s="9"/>
      <c r="V747" s="9"/>
      <c r="W747" s="9"/>
      <c r="X747" s="9"/>
      <c r="Y747" s="9"/>
      <c r="Z747" s="9"/>
    </row>
    <row r="748" ht="15.75" customHeight="1">
      <c r="A748" s="32"/>
      <c r="B748" s="9"/>
      <c r="C748" s="110"/>
      <c r="D748" s="134"/>
      <c r="E748" s="135"/>
      <c r="F748" s="9"/>
      <c r="G748" s="9"/>
      <c r="H748" s="9"/>
      <c r="I748" s="9"/>
      <c r="J748" s="9"/>
      <c r="K748" s="9"/>
      <c r="L748" s="9"/>
      <c r="M748" s="9"/>
      <c r="N748" s="9"/>
      <c r="O748" s="9"/>
      <c r="P748" s="9"/>
      <c r="Q748" s="9"/>
      <c r="R748" s="9"/>
      <c r="S748" s="9"/>
      <c r="T748" s="9"/>
      <c r="U748" s="9"/>
      <c r="V748" s="9"/>
      <c r="W748" s="9"/>
      <c r="X748" s="9"/>
      <c r="Y748" s="9"/>
      <c r="Z748" s="9"/>
    </row>
    <row r="749" ht="15.75" customHeight="1">
      <c r="A749" s="32"/>
      <c r="B749" s="9"/>
      <c r="C749" s="110"/>
      <c r="D749" s="134"/>
      <c r="E749" s="135"/>
      <c r="F749" s="9"/>
      <c r="G749" s="9"/>
      <c r="H749" s="9"/>
      <c r="I749" s="9"/>
      <c r="J749" s="9"/>
      <c r="K749" s="9"/>
      <c r="L749" s="9"/>
      <c r="M749" s="9"/>
      <c r="N749" s="9"/>
      <c r="O749" s="9"/>
      <c r="P749" s="9"/>
      <c r="Q749" s="9"/>
      <c r="R749" s="9"/>
      <c r="S749" s="9"/>
      <c r="T749" s="9"/>
      <c r="U749" s="9"/>
      <c r="V749" s="9"/>
      <c r="W749" s="9"/>
      <c r="X749" s="9"/>
      <c r="Y749" s="9"/>
      <c r="Z749" s="9"/>
    </row>
    <row r="750" ht="15.75" customHeight="1">
      <c r="A750" s="32"/>
      <c r="B750" s="9"/>
      <c r="C750" s="110"/>
      <c r="D750" s="134"/>
      <c r="E750" s="135"/>
      <c r="F750" s="9"/>
      <c r="G750" s="9"/>
      <c r="H750" s="9"/>
      <c r="I750" s="9"/>
      <c r="J750" s="9"/>
      <c r="K750" s="9"/>
      <c r="L750" s="9"/>
      <c r="M750" s="9"/>
      <c r="N750" s="9"/>
      <c r="O750" s="9"/>
      <c r="P750" s="9"/>
      <c r="Q750" s="9"/>
      <c r="R750" s="9"/>
      <c r="S750" s="9"/>
      <c r="T750" s="9"/>
      <c r="U750" s="9"/>
      <c r="V750" s="9"/>
      <c r="W750" s="9"/>
      <c r="X750" s="9"/>
      <c r="Y750" s="9"/>
      <c r="Z750" s="9"/>
    </row>
    <row r="751" ht="15.75" customHeight="1">
      <c r="A751" s="32"/>
      <c r="B751" s="9"/>
      <c r="C751" s="110"/>
      <c r="D751" s="134"/>
      <c r="E751" s="135"/>
      <c r="F751" s="9"/>
      <c r="G751" s="9"/>
      <c r="H751" s="9"/>
      <c r="I751" s="9"/>
      <c r="J751" s="9"/>
      <c r="K751" s="9"/>
      <c r="L751" s="9"/>
      <c r="M751" s="9"/>
      <c r="N751" s="9"/>
      <c r="O751" s="9"/>
      <c r="P751" s="9"/>
      <c r="Q751" s="9"/>
      <c r="R751" s="9"/>
      <c r="S751" s="9"/>
      <c r="T751" s="9"/>
      <c r="U751" s="9"/>
      <c r="V751" s="9"/>
      <c r="W751" s="9"/>
      <c r="X751" s="9"/>
      <c r="Y751" s="9"/>
      <c r="Z751" s="9"/>
    </row>
    <row r="752" ht="15.75" customHeight="1">
      <c r="A752" s="32"/>
      <c r="B752" s="9"/>
      <c r="C752" s="110"/>
      <c r="D752" s="134"/>
      <c r="E752" s="135"/>
      <c r="F752" s="9"/>
      <c r="G752" s="9"/>
      <c r="H752" s="9"/>
      <c r="I752" s="9"/>
      <c r="J752" s="9"/>
      <c r="K752" s="9"/>
      <c r="L752" s="9"/>
      <c r="M752" s="9"/>
      <c r="N752" s="9"/>
      <c r="O752" s="9"/>
      <c r="P752" s="9"/>
      <c r="Q752" s="9"/>
      <c r="R752" s="9"/>
      <c r="S752" s="9"/>
      <c r="T752" s="9"/>
      <c r="U752" s="9"/>
      <c r="V752" s="9"/>
      <c r="W752" s="9"/>
      <c r="X752" s="9"/>
      <c r="Y752" s="9"/>
      <c r="Z752" s="9"/>
    </row>
    <row r="753" ht="15.75" customHeight="1">
      <c r="A753" s="32"/>
      <c r="B753" s="9"/>
      <c r="C753" s="110"/>
      <c r="D753" s="134"/>
      <c r="E753" s="135"/>
      <c r="F753" s="9"/>
      <c r="G753" s="9"/>
      <c r="H753" s="9"/>
      <c r="I753" s="9"/>
      <c r="J753" s="9"/>
      <c r="K753" s="9"/>
      <c r="L753" s="9"/>
      <c r="M753" s="9"/>
      <c r="N753" s="9"/>
      <c r="O753" s="9"/>
      <c r="P753" s="9"/>
      <c r="Q753" s="9"/>
      <c r="R753" s="9"/>
      <c r="S753" s="9"/>
      <c r="T753" s="9"/>
      <c r="U753" s="9"/>
      <c r="V753" s="9"/>
      <c r="W753" s="9"/>
      <c r="X753" s="9"/>
      <c r="Y753" s="9"/>
      <c r="Z753" s="9"/>
    </row>
    <row r="754" ht="15.75" customHeight="1">
      <c r="A754" s="32"/>
      <c r="B754" s="9"/>
      <c r="C754" s="110"/>
      <c r="D754" s="134"/>
      <c r="E754" s="135"/>
      <c r="F754" s="9"/>
      <c r="G754" s="9"/>
      <c r="H754" s="9"/>
      <c r="I754" s="9"/>
      <c r="J754" s="9"/>
      <c r="K754" s="9"/>
      <c r="L754" s="9"/>
      <c r="M754" s="9"/>
      <c r="N754" s="9"/>
      <c r="O754" s="9"/>
      <c r="P754" s="9"/>
      <c r="Q754" s="9"/>
      <c r="R754" s="9"/>
      <c r="S754" s="9"/>
      <c r="T754" s="9"/>
      <c r="U754" s="9"/>
      <c r="V754" s="9"/>
      <c r="W754" s="9"/>
      <c r="X754" s="9"/>
      <c r="Y754" s="9"/>
      <c r="Z754" s="9"/>
    </row>
    <row r="755" ht="15.75" customHeight="1">
      <c r="A755" s="32"/>
      <c r="B755" s="9"/>
      <c r="C755" s="110"/>
      <c r="D755" s="134"/>
      <c r="E755" s="135"/>
      <c r="F755" s="9"/>
      <c r="G755" s="9"/>
      <c r="H755" s="9"/>
      <c r="I755" s="9"/>
      <c r="J755" s="9"/>
      <c r="K755" s="9"/>
      <c r="L755" s="9"/>
      <c r="M755" s="9"/>
      <c r="N755" s="9"/>
      <c r="O755" s="9"/>
      <c r="P755" s="9"/>
      <c r="Q755" s="9"/>
      <c r="R755" s="9"/>
      <c r="S755" s="9"/>
      <c r="T755" s="9"/>
      <c r="U755" s="9"/>
      <c r="V755" s="9"/>
      <c r="W755" s="9"/>
      <c r="X755" s="9"/>
      <c r="Y755" s="9"/>
      <c r="Z755" s="9"/>
    </row>
    <row r="756" ht="15.75" customHeight="1">
      <c r="A756" s="32"/>
      <c r="B756" s="9"/>
      <c r="C756" s="110"/>
      <c r="D756" s="134"/>
      <c r="E756" s="135"/>
      <c r="F756" s="9"/>
      <c r="G756" s="9"/>
      <c r="H756" s="9"/>
      <c r="I756" s="9"/>
      <c r="J756" s="9"/>
      <c r="K756" s="9"/>
      <c r="L756" s="9"/>
      <c r="M756" s="9"/>
      <c r="N756" s="9"/>
      <c r="O756" s="9"/>
      <c r="P756" s="9"/>
      <c r="Q756" s="9"/>
      <c r="R756" s="9"/>
      <c r="S756" s="9"/>
      <c r="T756" s="9"/>
      <c r="U756" s="9"/>
      <c r="V756" s="9"/>
      <c r="W756" s="9"/>
      <c r="X756" s="9"/>
      <c r="Y756" s="9"/>
      <c r="Z756" s="9"/>
    </row>
    <row r="757" ht="15.75" customHeight="1">
      <c r="A757" s="32"/>
      <c r="B757" s="9"/>
      <c r="C757" s="110"/>
      <c r="D757" s="134"/>
      <c r="E757" s="135"/>
      <c r="F757" s="9"/>
      <c r="G757" s="9"/>
      <c r="H757" s="9"/>
      <c r="I757" s="9"/>
      <c r="J757" s="9"/>
      <c r="K757" s="9"/>
      <c r="L757" s="9"/>
      <c r="M757" s="9"/>
      <c r="N757" s="9"/>
      <c r="O757" s="9"/>
      <c r="P757" s="9"/>
      <c r="Q757" s="9"/>
      <c r="R757" s="9"/>
      <c r="S757" s="9"/>
      <c r="T757" s="9"/>
      <c r="U757" s="9"/>
      <c r="V757" s="9"/>
      <c r="W757" s="9"/>
      <c r="X757" s="9"/>
      <c r="Y757" s="9"/>
      <c r="Z757" s="9"/>
    </row>
    <row r="758" ht="15.75" customHeight="1">
      <c r="A758" s="32"/>
      <c r="B758" s="9"/>
      <c r="C758" s="110"/>
      <c r="D758" s="134"/>
      <c r="E758" s="135"/>
      <c r="F758" s="9"/>
      <c r="G758" s="9"/>
      <c r="H758" s="9"/>
      <c r="I758" s="9"/>
      <c r="J758" s="9"/>
      <c r="K758" s="9"/>
      <c r="L758" s="9"/>
      <c r="M758" s="9"/>
      <c r="N758" s="9"/>
      <c r="O758" s="9"/>
      <c r="P758" s="9"/>
      <c r="Q758" s="9"/>
      <c r="R758" s="9"/>
      <c r="S758" s="9"/>
      <c r="T758" s="9"/>
      <c r="U758" s="9"/>
      <c r="V758" s="9"/>
      <c r="W758" s="9"/>
      <c r="X758" s="9"/>
      <c r="Y758" s="9"/>
      <c r="Z758" s="9"/>
    </row>
    <row r="759" ht="15.75" customHeight="1">
      <c r="A759" s="32"/>
      <c r="B759" s="9"/>
      <c r="C759" s="110"/>
      <c r="D759" s="134"/>
      <c r="E759" s="135"/>
      <c r="F759" s="9"/>
      <c r="G759" s="9"/>
      <c r="H759" s="9"/>
      <c r="I759" s="9"/>
      <c r="J759" s="9"/>
      <c r="K759" s="9"/>
      <c r="L759" s="9"/>
      <c r="M759" s="9"/>
      <c r="N759" s="9"/>
      <c r="O759" s="9"/>
      <c r="P759" s="9"/>
      <c r="Q759" s="9"/>
      <c r="R759" s="9"/>
      <c r="S759" s="9"/>
      <c r="T759" s="9"/>
      <c r="U759" s="9"/>
      <c r="V759" s="9"/>
      <c r="W759" s="9"/>
      <c r="X759" s="9"/>
      <c r="Y759" s="9"/>
      <c r="Z759" s="9"/>
    </row>
    <row r="760" ht="15.75" customHeight="1">
      <c r="A760" s="32"/>
      <c r="B760" s="9"/>
      <c r="C760" s="110"/>
      <c r="D760" s="134"/>
      <c r="E760" s="135"/>
      <c r="F760" s="9"/>
      <c r="G760" s="9"/>
      <c r="H760" s="9"/>
      <c r="I760" s="9"/>
      <c r="J760" s="9"/>
      <c r="K760" s="9"/>
      <c r="L760" s="9"/>
      <c r="M760" s="9"/>
      <c r="N760" s="9"/>
      <c r="O760" s="9"/>
      <c r="P760" s="9"/>
      <c r="Q760" s="9"/>
      <c r="R760" s="9"/>
      <c r="S760" s="9"/>
      <c r="T760" s="9"/>
      <c r="U760" s="9"/>
      <c r="V760" s="9"/>
      <c r="W760" s="9"/>
      <c r="X760" s="9"/>
      <c r="Y760" s="9"/>
      <c r="Z760" s="9"/>
    </row>
    <row r="761" ht="15.75" customHeight="1">
      <c r="A761" s="32"/>
      <c r="B761" s="9"/>
      <c r="C761" s="110"/>
      <c r="D761" s="134"/>
      <c r="E761" s="135"/>
      <c r="F761" s="9"/>
      <c r="G761" s="9"/>
      <c r="H761" s="9"/>
      <c r="I761" s="9"/>
      <c r="J761" s="9"/>
      <c r="K761" s="9"/>
      <c r="L761" s="9"/>
      <c r="M761" s="9"/>
      <c r="N761" s="9"/>
      <c r="O761" s="9"/>
      <c r="P761" s="9"/>
      <c r="Q761" s="9"/>
      <c r="R761" s="9"/>
      <c r="S761" s="9"/>
      <c r="T761" s="9"/>
      <c r="U761" s="9"/>
      <c r="V761" s="9"/>
      <c r="W761" s="9"/>
      <c r="X761" s="9"/>
      <c r="Y761" s="9"/>
      <c r="Z761" s="9"/>
    </row>
    <row r="762" ht="15.75" customHeight="1">
      <c r="A762" s="32"/>
      <c r="B762" s="9"/>
      <c r="C762" s="110"/>
      <c r="D762" s="134"/>
      <c r="E762" s="135"/>
      <c r="F762" s="9"/>
      <c r="G762" s="9"/>
      <c r="H762" s="9"/>
      <c r="I762" s="9"/>
      <c r="J762" s="9"/>
      <c r="K762" s="9"/>
      <c r="L762" s="9"/>
      <c r="M762" s="9"/>
      <c r="N762" s="9"/>
      <c r="O762" s="9"/>
      <c r="P762" s="9"/>
      <c r="Q762" s="9"/>
      <c r="R762" s="9"/>
      <c r="S762" s="9"/>
      <c r="T762" s="9"/>
      <c r="U762" s="9"/>
      <c r="V762" s="9"/>
      <c r="W762" s="9"/>
      <c r="X762" s="9"/>
      <c r="Y762" s="9"/>
      <c r="Z762" s="9"/>
    </row>
    <row r="763" ht="15.75" customHeight="1">
      <c r="A763" s="32"/>
      <c r="B763" s="9"/>
      <c r="C763" s="110"/>
      <c r="D763" s="134"/>
      <c r="E763" s="135"/>
      <c r="F763" s="9"/>
      <c r="G763" s="9"/>
      <c r="H763" s="9"/>
      <c r="I763" s="9"/>
      <c r="J763" s="9"/>
      <c r="K763" s="9"/>
      <c r="L763" s="9"/>
      <c r="M763" s="9"/>
      <c r="N763" s="9"/>
      <c r="O763" s="9"/>
      <c r="P763" s="9"/>
      <c r="Q763" s="9"/>
      <c r="R763" s="9"/>
      <c r="S763" s="9"/>
      <c r="T763" s="9"/>
      <c r="U763" s="9"/>
      <c r="V763" s="9"/>
      <c r="W763" s="9"/>
      <c r="X763" s="9"/>
      <c r="Y763" s="9"/>
      <c r="Z763" s="9"/>
    </row>
    <row r="764" ht="15.75" customHeight="1">
      <c r="A764" s="32"/>
      <c r="B764" s="9"/>
      <c r="C764" s="110"/>
      <c r="D764" s="134"/>
      <c r="E764" s="135"/>
      <c r="F764" s="9"/>
      <c r="G764" s="9"/>
      <c r="H764" s="9"/>
      <c r="I764" s="9"/>
      <c r="J764" s="9"/>
      <c r="K764" s="9"/>
      <c r="L764" s="9"/>
      <c r="M764" s="9"/>
      <c r="N764" s="9"/>
      <c r="O764" s="9"/>
      <c r="P764" s="9"/>
      <c r="Q764" s="9"/>
      <c r="R764" s="9"/>
      <c r="S764" s="9"/>
      <c r="T764" s="9"/>
      <c r="U764" s="9"/>
      <c r="V764" s="9"/>
      <c r="W764" s="9"/>
      <c r="X764" s="9"/>
      <c r="Y764" s="9"/>
      <c r="Z764" s="9"/>
    </row>
    <row r="765" ht="15.75" customHeight="1">
      <c r="A765" s="32"/>
      <c r="B765" s="9"/>
      <c r="C765" s="110"/>
      <c r="D765" s="134"/>
      <c r="E765" s="135"/>
      <c r="F765" s="9"/>
      <c r="G765" s="9"/>
      <c r="H765" s="9"/>
      <c r="I765" s="9"/>
      <c r="J765" s="9"/>
      <c r="K765" s="9"/>
      <c r="L765" s="9"/>
      <c r="M765" s="9"/>
      <c r="N765" s="9"/>
      <c r="O765" s="9"/>
      <c r="P765" s="9"/>
      <c r="Q765" s="9"/>
      <c r="R765" s="9"/>
      <c r="S765" s="9"/>
      <c r="T765" s="9"/>
      <c r="U765" s="9"/>
      <c r="V765" s="9"/>
      <c r="W765" s="9"/>
      <c r="X765" s="9"/>
      <c r="Y765" s="9"/>
      <c r="Z765" s="9"/>
    </row>
    <row r="766" ht="15.75" customHeight="1">
      <c r="A766" s="32"/>
      <c r="B766" s="9"/>
      <c r="C766" s="110"/>
      <c r="D766" s="134"/>
      <c r="E766" s="135"/>
      <c r="F766" s="9"/>
      <c r="G766" s="9"/>
      <c r="H766" s="9"/>
      <c r="I766" s="9"/>
      <c r="J766" s="9"/>
      <c r="K766" s="9"/>
      <c r="L766" s="9"/>
      <c r="M766" s="9"/>
      <c r="N766" s="9"/>
      <c r="O766" s="9"/>
      <c r="P766" s="9"/>
      <c r="Q766" s="9"/>
      <c r="R766" s="9"/>
      <c r="S766" s="9"/>
      <c r="T766" s="9"/>
      <c r="U766" s="9"/>
      <c r="V766" s="9"/>
      <c r="W766" s="9"/>
      <c r="X766" s="9"/>
      <c r="Y766" s="9"/>
      <c r="Z766" s="9"/>
    </row>
    <row r="767" ht="15.75" customHeight="1">
      <c r="A767" s="32"/>
      <c r="B767" s="9"/>
      <c r="C767" s="110"/>
      <c r="D767" s="134"/>
      <c r="E767" s="135"/>
      <c r="F767" s="9"/>
      <c r="G767" s="9"/>
      <c r="H767" s="9"/>
      <c r="I767" s="9"/>
      <c r="J767" s="9"/>
      <c r="K767" s="9"/>
      <c r="L767" s="9"/>
      <c r="M767" s="9"/>
      <c r="N767" s="9"/>
      <c r="O767" s="9"/>
      <c r="P767" s="9"/>
      <c r="Q767" s="9"/>
      <c r="R767" s="9"/>
      <c r="S767" s="9"/>
      <c r="T767" s="9"/>
      <c r="U767" s="9"/>
      <c r="V767" s="9"/>
      <c r="W767" s="9"/>
      <c r="X767" s="9"/>
      <c r="Y767" s="9"/>
      <c r="Z767" s="9"/>
    </row>
    <row r="768" ht="15.75" customHeight="1">
      <c r="A768" s="32"/>
      <c r="B768" s="9"/>
      <c r="C768" s="110"/>
      <c r="D768" s="134"/>
      <c r="E768" s="135"/>
      <c r="F768" s="9"/>
      <c r="G768" s="9"/>
      <c r="H768" s="9"/>
      <c r="I768" s="9"/>
      <c r="J768" s="9"/>
      <c r="K768" s="9"/>
      <c r="L768" s="9"/>
      <c r="M768" s="9"/>
      <c r="N768" s="9"/>
      <c r="O768" s="9"/>
      <c r="P768" s="9"/>
      <c r="Q768" s="9"/>
      <c r="R768" s="9"/>
      <c r="S768" s="9"/>
      <c r="T768" s="9"/>
      <c r="U768" s="9"/>
      <c r="V768" s="9"/>
      <c r="W768" s="9"/>
      <c r="X768" s="9"/>
      <c r="Y768" s="9"/>
      <c r="Z768" s="9"/>
    </row>
    <row r="769" ht="15.75" customHeight="1">
      <c r="A769" s="32"/>
      <c r="B769" s="9"/>
      <c r="C769" s="110"/>
      <c r="D769" s="134"/>
      <c r="E769" s="135"/>
      <c r="F769" s="9"/>
      <c r="G769" s="9"/>
      <c r="H769" s="9"/>
      <c r="I769" s="9"/>
      <c r="J769" s="9"/>
      <c r="K769" s="9"/>
      <c r="L769" s="9"/>
      <c r="M769" s="9"/>
      <c r="N769" s="9"/>
      <c r="O769" s="9"/>
      <c r="P769" s="9"/>
      <c r="Q769" s="9"/>
      <c r="R769" s="9"/>
      <c r="S769" s="9"/>
      <c r="T769" s="9"/>
      <c r="U769" s="9"/>
      <c r="V769" s="9"/>
      <c r="W769" s="9"/>
      <c r="X769" s="9"/>
      <c r="Y769" s="9"/>
      <c r="Z769" s="9"/>
    </row>
    <row r="770" ht="15.75" customHeight="1">
      <c r="A770" s="32"/>
      <c r="B770" s="9"/>
      <c r="C770" s="110"/>
      <c r="D770" s="134"/>
      <c r="E770" s="135"/>
      <c r="F770" s="9"/>
      <c r="G770" s="9"/>
      <c r="H770" s="9"/>
      <c r="I770" s="9"/>
      <c r="J770" s="9"/>
      <c r="K770" s="9"/>
      <c r="L770" s="9"/>
      <c r="M770" s="9"/>
      <c r="N770" s="9"/>
      <c r="O770" s="9"/>
      <c r="P770" s="9"/>
      <c r="Q770" s="9"/>
      <c r="R770" s="9"/>
      <c r="S770" s="9"/>
      <c r="T770" s="9"/>
      <c r="U770" s="9"/>
      <c r="V770" s="9"/>
      <c r="W770" s="9"/>
      <c r="X770" s="9"/>
      <c r="Y770" s="9"/>
      <c r="Z770" s="9"/>
    </row>
    <row r="771" ht="15.75" customHeight="1">
      <c r="A771" s="32"/>
      <c r="B771" s="9"/>
      <c r="C771" s="110"/>
      <c r="D771" s="134"/>
      <c r="E771" s="135"/>
      <c r="F771" s="9"/>
      <c r="G771" s="9"/>
      <c r="H771" s="9"/>
      <c r="I771" s="9"/>
      <c r="J771" s="9"/>
      <c r="K771" s="9"/>
      <c r="L771" s="9"/>
      <c r="M771" s="9"/>
      <c r="N771" s="9"/>
      <c r="O771" s="9"/>
      <c r="P771" s="9"/>
      <c r="Q771" s="9"/>
      <c r="R771" s="9"/>
      <c r="S771" s="9"/>
      <c r="T771" s="9"/>
      <c r="U771" s="9"/>
      <c r="V771" s="9"/>
      <c r="W771" s="9"/>
      <c r="X771" s="9"/>
      <c r="Y771" s="9"/>
      <c r="Z771" s="9"/>
    </row>
    <row r="772" ht="15.75" customHeight="1">
      <c r="A772" s="32"/>
      <c r="B772" s="9"/>
      <c r="C772" s="110"/>
      <c r="D772" s="134"/>
      <c r="E772" s="135"/>
      <c r="F772" s="9"/>
      <c r="G772" s="9"/>
      <c r="H772" s="9"/>
      <c r="I772" s="9"/>
      <c r="J772" s="9"/>
      <c r="K772" s="9"/>
      <c r="L772" s="9"/>
      <c r="M772" s="9"/>
      <c r="N772" s="9"/>
      <c r="O772" s="9"/>
      <c r="P772" s="9"/>
      <c r="Q772" s="9"/>
      <c r="R772" s="9"/>
      <c r="S772" s="9"/>
      <c r="T772" s="9"/>
      <c r="U772" s="9"/>
      <c r="V772" s="9"/>
      <c r="W772" s="9"/>
      <c r="X772" s="9"/>
      <c r="Y772" s="9"/>
      <c r="Z772" s="9"/>
    </row>
    <row r="773" ht="15.75" customHeight="1">
      <c r="A773" s="32"/>
      <c r="B773" s="9"/>
      <c r="C773" s="110"/>
      <c r="D773" s="134"/>
      <c r="E773" s="135"/>
      <c r="F773" s="9"/>
      <c r="G773" s="9"/>
      <c r="H773" s="9"/>
      <c r="I773" s="9"/>
      <c r="J773" s="9"/>
      <c r="K773" s="9"/>
      <c r="L773" s="9"/>
      <c r="M773" s="9"/>
      <c r="N773" s="9"/>
      <c r="O773" s="9"/>
      <c r="P773" s="9"/>
      <c r="Q773" s="9"/>
      <c r="R773" s="9"/>
      <c r="S773" s="9"/>
      <c r="T773" s="9"/>
      <c r="U773" s="9"/>
      <c r="V773" s="9"/>
      <c r="W773" s="9"/>
      <c r="X773" s="9"/>
      <c r="Y773" s="9"/>
      <c r="Z773" s="9"/>
    </row>
    <row r="774" ht="15.75" customHeight="1">
      <c r="A774" s="32"/>
      <c r="B774" s="9"/>
      <c r="C774" s="110"/>
      <c r="D774" s="134"/>
      <c r="E774" s="135"/>
      <c r="F774" s="9"/>
      <c r="G774" s="9"/>
      <c r="H774" s="9"/>
      <c r="I774" s="9"/>
      <c r="J774" s="9"/>
      <c r="K774" s="9"/>
      <c r="L774" s="9"/>
      <c r="M774" s="9"/>
      <c r="N774" s="9"/>
      <c r="O774" s="9"/>
      <c r="P774" s="9"/>
      <c r="Q774" s="9"/>
      <c r="R774" s="9"/>
      <c r="S774" s="9"/>
      <c r="T774" s="9"/>
      <c r="U774" s="9"/>
      <c r="V774" s="9"/>
      <c r="W774" s="9"/>
      <c r="X774" s="9"/>
      <c r="Y774" s="9"/>
      <c r="Z774" s="9"/>
    </row>
    <row r="775" ht="15.75" customHeight="1">
      <c r="A775" s="32"/>
      <c r="B775" s="9"/>
      <c r="C775" s="110"/>
      <c r="D775" s="134"/>
      <c r="E775" s="135"/>
      <c r="F775" s="9"/>
      <c r="G775" s="9"/>
      <c r="H775" s="9"/>
      <c r="I775" s="9"/>
      <c r="J775" s="9"/>
      <c r="K775" s="9"/>
      <c r="L775" s="9"/>
      <c r="M775" s="9"/>
      <c r="N775" s="9"/>
      <c r="O775" s="9"/>
      <c r="P775" s="9"/>
      <c r="Q775" s="9"/>
      <c r="R775" s="9"/>
      <c r="S775" s="9"/>
      <c r="T775" s="9"/>
      <c r="U775" s="9"/>
      <c r="V775" s="9"/>
      <c r="W775" s="9"/>
      <c r="X775" s="9"/>
      <c r="Y775" s="9"/>
      <c r="Z775" s="9"/>
    </row>
    <row r="776" ht="15.75" customHeight="1">
      <c r="A776" s="32"/>
      <c r="B776" s="9"/>
      <c r="C776" s="110"/>
      <c r="D776" s="134"/>
      <c r="E776" s="135"/>
      <c r="F776" s="9"/>
      <c r="G776" s="9"/>
      <c r="H776" s="9"/>
      <c r="I776" s="9"/>
      <c r="J776" s="9"/>
      <c r="K776" s="9"/>
      <c r="L776" s="9"/>
      <c r="M776" s="9"/>
      <c r="N776" s="9"/>
      <c r="O776" s="9"/>
      <c r="P776" s="9"/>
      <c r="Q776" s="9"/>
      <c r="R776" s="9"/>
      <c r="S776" s="9"/>
      <c r="T776" s="9"/>
      <c r="U776" s="9"/>
      <c r="V776" s="9"/>
      <c r="W776" s="9"/>
      <c r="X776" s="9"/>
      <c r="Y776" s="9"/>
      <c r="Z776" s="9"/>
    </row>
    <row r="777" ht="15.75" customHeight="1">
      <c r="A777" s="32"/>
      <c r="B777" s="9"/>
      <c r="C777" s="110"/>
      <c r="D777" s="134"/>
      <c r="E777" s="135"/>
      <c r="F777" s="9"/>
      <c r="G777" s="9"/>
      <c r="H777" s="9"/>
      <c r="I777" s="9"/>
      <c r="J777" s="9"/>
      <c r="K777" s="9"/>
      <c r="L777" s="9"/>
      <c r="M777" s="9"/>
      <c r="N777" s="9"/>
      <c r="O777" s="9"/>
      <c r="P777" s="9"/>
      <c r="Q777" s="9"/>
      <c r="R777" s="9"/>
      <c r="S777" s="9"/>
      <c r="T777" s="9"/>
      <c r="U777" s="9"/>
      <c r="V777" s="9"/>
      <c r="W777" s="9"/>
      <c r="X777" s="9"/>
      <c r="Y777" s="9"/>
      <c r="Z777" s="9"/>
    </row>
    <row r="778" ht="15.75" customHeight="1">
      <c r="A778" s="32"/>
      <c r="B778" s="9"/>
      <c r="C778" s="110"/>
      <c r="D778" s="134"/>
      <c r="E778" s="135"/>
      <c r="F778" s="9"/>
      <c r="G778" s="9"/>
      <c r="H778" s="9"/>
      <c r="I778" s="9"/>
      <c r="J778" s="9"/>
      <c r="K778" s="9"/>
      <c r="L778" s="9"/>
      <c r="M778" s="9"/>
      <c r="N778" s="9"/>
      <c r="O778" s="9"/>
      <c r="P778" s="9"/>
      <c r="Q778" s="9"/>
      <c r="R778" s="9"/>
      <c r="S778" s="9"/>
      <c r="T778" s="9"/>
      <c r="U778" s="9"/>
      <c r="V778" s="9"/>
      <c r="W778" s="9"/>
      <c r="X778" s="9"/>
      <c r="Y778" s="9"/>
      <c r="Z778" s="9"/>
    </row>
    <row r="779" ht="15.75" customHeight="1">
      <c r="A779" s="32"/>
      <c r="B779" s="9"/>
      <c r="C779" s="110"/>
      <c r="D779" s="134"/>
      <c r="E779" s="135"/>
      <c r="F779" s="9"/>
      <c r="G779" s="9"/>
      <c r="H779" s="9"/>
      <c r="I779" s="9"/>
      <c r="J779" s="9"/>
      <c r="K779" s="9"/>
      <c r="L779" s="9"/>
      <c r="M779" s="9"/>
      <c r="N779" s="9"/>
      <c r="O779" s="9"/>
      <c r="P779" s="9"/>
      <c r="Q779" s="9"/>
      <c r="R779" s="9"/>
      <c r="S779" s="9"/>
      <c r="T779" s="9"/>
      <c r="U779" s="9"/>
      <c r="V779" s="9"/>
      <c r="W779" s="9"/>
      <c r="X779" s="9"/>
      <c r="Y779" s="9"/>
      <c r="Z779" s="9"/>
    </row>
    <row r="780" ht="15.75" customHeight="1">
      <c r="A780" s="32"/>
      <c r="B780" s="9"/>
      <c r="C780" s="110"/>
      <c r="D780" s="134"/>
      <c r="E780" s="135"/>
      <c r="F780" s="9"/>
      <c r="G780" s="9"/>
      <c r="H780" s="9"/>
      <c r="I780" s="9"/>
      <c r="J780" s="9"/>
      <c r="K780" s="9"/>
      <c r="L780" s="9"/>
      <c r="M780" s="9"/>
      <c r="N780" s="9"/>
      <c r="O780" s="9"/>
      <c r="P780" s="9"/>
      <c r="Q780" s="9"/>
      <c r="R780" s="9"/>
      <c r="S780" s="9"/>
      <c r="T780" s="9"/>
      <c r="U780" s="9"/>
      <c r="V780" s="9"/>
      <c r="W780" s="9"/>
      <c r="X780" s="9"/>
      <c r="Y780" s="9"/>
      <c r="Z780" s="9"/>
    </row>
    <row r="781" ht="15.75" customHeight="1">
      <c r="A781" s="32"/>
      <c r="B781" s="9"/>
      <c r="C781" s="110"/>
      <c r="D781" s="134"/>
      <c r="E781" s="135"/>
      <c r="F781" s="9"/>
      <c r="G781" s="9"/>
      <c r="H781" s="9"/>
      <c r="I781" s="9"/>
      <c r="J781" s="9"/>
      <c r="K781" s="9"/>
      <c r="L781" s="9"/>
      <c r="M781" s="9"/>
      <c r="N781" s="9"/>
      <c r="O781" s="9"/>
      <c r="P781" s="9"/>
      <c r="Q781" s="9"/>
      <c r="R781" s="9"/>
      <c r="S781" s="9"/>
      <c r="T781" s="9"/>
      <c r="U781" s="9"/>
      <c r="V781" s="9"/>
      <c r="W781" s="9"/>
      <c r="X781" s="9"/>
      <c r="Y781" s="9"/>
      <c r="Z781" s="9"/>
    </row>
    <row r="782" ht="15.75" customHeight="1">
      <c r="A782" s="32"/>
      <c r="B782" s="9"/>
      <c r="C782" s="110"/>
      <c r="D782" s="134"/>
      <c r="E782" s="135"/>
      <c r="F782" s="9"/>
      <c r="G782" s="9"/>
      <c r="H782" s="9"/>
      <c r="I782" s="9"/>
      <c r="J782" s="9"/>
      <c r="K782" s="9"/>
      <c r="L782" s="9"/>
      <c r="M782" s="9"/>
      <c r="N782" s="9"/>
      <c r="O782" s="9"/>
      <c r="P782" s="9"/>
      <c r="Q782" s="9"/>
      <c r="R782" s="9"/>
      <c r="S782" s="9"/>
      <c r="T782" s="9"/>
      <c r="U782" s="9"/>
      <c r="V782" s="9"/>
      <c r="W782" s="9"/>
      <c r="X782" s="9"/>
      <c r="Y782" s="9"/>
      <c r="Z782" s="9"/>
    </row>
    <row r="783" ht="15.75" customHeight="1">
      <c r="A783" s="32"/>
      <c r="B783" s="9"/>
      <c r="C783" s="110"/>
      <c r="D783" s="134"/>
      <c r="E783" s="135"/>
      <c r="F783" s="9"/>
      <c r="G783" s="9"/>
      <c r="H783" s="9"/>
      <c r="I783" s="9"/>
      <c r="J783" s="9"/>
      <c r="K783" s="9"/>
      <c r="L783" s="9"/>
      <c r="M783" s="9"/>
      <c r="N783" s="9"/>
      <c r="O783" s="9"/>
      <c r="P783" s="9"/>
      <c r="Q783" s="9"/>
      <c r="R783" s="9"/>
      <c r="S783" s="9"/>
      <c r="T783" s="9"/>
      <c r="U783" s="9"/>
      <c r="V783" s="9"/>
      <c r="W783" s="9"/>
      <c r="X783" s="9"/>
      <c r="Y783" s="9"/>
      <c r="Z783" s="9"/>
    </row>
    <row r="784" ht="15.75" customHeight="1">
      <c r="A784" s="32"/>
      <c r="B784" s="9"/>
      <c r="C784" s="110"/>
      <c r="D784" s="134"/>
      <c r="E784" s="135"/>
      <c r="F784" s="9"/>
      <c r="G784" s="9"/>
      <c r="H784" s="9"/>
      <c r="I784" s="9"/>
      <c r="J784" s="9"/>
      <c r="K784" s="9"/>
      <c r="L784" s="9"/>
      <c r="M784" s="9"/>
      <c r="N784" s="9"/>
      <c r="O784" s="9"/>
      <c r="P784" s="9"/>
      <c r="Q784" s="9"/>
      <c r="R784" s="9"/>
      <c r="S784" s="9"/>
      <c r="T784" s="9"/>
      <c r="U784" s="9"/>
      <c r="V784" s="9"/>
      <c r="W784" s="9"/>
      <c r="X784" s="9"/>
      <c r="Y784" s="9"/>
      <c r="Z784" s="9"/>
    </row>
    <row r="785" ht="15.75" customHeight="1">
      <c r="A785" s="32"/>
      <c r="B785" s="9"/>
      <c r="C785" s="110"/>
      <c r="D785" s="134"/>
      <c r="E785" s="135"/>
      <c r="F785" s="9"/>
      <c r="G785" s="9"/>
      <c r="H785" s="9"/>
      <c r="I785" s="9"/>
      <c r="J785" s="9"/>
      <c r="K785" s="9"/>
      <c r="L785" s="9"/>
      <c r="M785" s="9"/>
      <c r="N785" s="9"/>
      <c r="O785" s="9"/>
      <c r="P785" s="9"/>
      <c r="Q785" s="9"/>
      <c r="R785" s="9"/>
      <c r="S785" s="9"/>
      <c r="T785" s="9"/>
      <c r="U785" s="9"/>
      <c r="V785" s="9"/>
      <c r="W785" s="9"/>
      <c r="X785" s="9"/>
      <c r="Y785" s="9"/>
      <c r="Z785" s="9"/>
    </row>
    <row r="786" ht="15.75" customHeight="1">
      <c r="A786" s="32"/>
      <c r="B786" s="9"/>
      <c r="C786" s="110"/>
      <c r="D786" s="134"/>
      <c r="E786" s="135"/>
      <c r="F786" s="9"/>
      <c r="G786" s="9"/>
      <c r="H786" s="9"/>
      <c r="I786" s="9"/>
      <c r="J786" s="9"/>
      <c r="K786" s="9"/>
      <c r="L786" s="9"/>
      <c r="M786" s="9"/>
      <c r="N786" s="9"/>
      <c r="O786" s="9"/>
      <c r="P786" s="9"/>
      <c r="Q786" s="9"/>
      <c r="R786" s="9"/>
      <c r="S786" s="9"/>
      <c r="T786" s="9"/>
      <c r="U786" s="9"/>
      <c r="V786" s="9"/>
      <c r="W786" s="9"/>
      <c r="X786" s="9"/>
      <c r="Y786" s="9"/>
      <c r="Z786" s="9"/>
    </row>
    <row r="787" ht="15.75" customHeight="1">
      <c r="A787" s="32"/>
      <c r="B787" s="9"/>
      <c r="C787" s="110"/>
      <c r="D787" s="134"/>
      <c r="E787" s="135"/>
      <c r="F787" s="9"/>
      <c r="G787" s="9"/>
      <c r="H787" s="9"/>
      <c r="I787" s="9"/>
      <c r="J787" s="9"/>
      <c r="K787" s="9"/>
      <c r="L787" s="9"/>
      <c r="M787" s="9"/>
      <c r="N787" s="9"/>
      <c r="O787" s="9"/>
      <c r="P787" s="9"/>
      <c r="Q787" s="9"/>
      <c r="R787" s="9"/>
      <c r="S787" s="9"/>
      <c r="T787" s="9"/>
      <c r="U787" s="9"/>
      <c r="V787" s="9"/>
      <c r="W787" s="9"/>
      <c r="X787" s="9"/>
      <c r="Y787" s="9"/>
      <c r="Z787" s="9"/>
    </row>
    <row r="788" ht="15.75" customHeight="1">
      <c r="A788" s="32"/>
      <c r="B788" s="9"/>
      <c r="C788" s="110"/>
      <c r="D788" s="134"/>
      <c r="E788" s="135"/>
      <c r="F788" s="9"/>
      <c r="G788" s="9"/>
      <c r="H788" s="9"/>
      <c r="I788" s="9"/>
      <c r="J788" s="9"/>
      <c r="K788" s="9"/>
      <c r="L788" s="9"/>
      <c r="M788" s="9"/>
      <c r="N788" s="9"/>
      <c r="O788" s="9"/>
      <c r="P788" s="9"/>
      <c r="Q788" s="9"/>
      <c r="R788" s="9"/>
      <c r="S788" s="9"/>
      <c r="T788" s="9"/>
      <c r="U788" s="9"/>
      <c r="V788" s="9"/>
      <c r="W788" s="9"/>
      <c r="X788" s="9"/>
      <c r="Y788" s="9"/>
      <c r="Z788" s="9"/>
    </row>
    <row r="789" ht="15.75" customHeight="1">
      <c r="A789" s="32"/>
      <c r="B789" s="9"/>
      <c r="C789" s="110"/>
      <c r="D789" s="134"/>
      <c r="E789" s="135"/>
      <c r="F789" s="9"/>
      <c r="G789" s="9"/>
      <c r="H789" s="9"/>
      <c r="I789" s="9"/>
      <c r="J789" s="9"/>
      <c r="K789" s="9"/>
      <c r="L789" s="9"/>
      <c r="M789" s="9"/>
      <c r="N789" s="9"/>
      <c r="O789" s="9"/>
      <c r="P789" s="9"/>
      <c r="Q789" s="9"/>
      <c r="R789" s="9"/>
      <c r="S789" s="9"/>
      <c r="T789" s="9"/>
      <c r="U789" s="9"/>
      <c r="V789" s="9"/>
      <c r="W789" s="9"/>
      <c r="X789" s="9"/>
      <c r="Y789" s="9"/>
      <c r="Z789" s="9"/>
    </row>
    <row r="790" ht="15.75" customHeight="1">
      <c r="A790" s="32"/>
      <c r="B790" s="9"/>
      <c r="C790" s="110"/>
      <c r="D790" s="134"/>
      <c r="E790" s="135"/>
      <c r="F790" s="9"/>
      <c r="G790" s="9"/>
      <c r="H790" s="9"/>
      <c r="I790" s="9"/>
      <c r="J790" s="9"/>
      <c r="K790" s="9"/>
      <c r="L790" s="9"/>
      <c r="M790" s="9"/>
      <c r="N790" s="9"/>
      <c r="O790" s="9"/>
      <c r="P790" s="9"/>
      <c r="Q790" s="9"/>
      <c r="R790" s="9"/>
      <c r="S790" s="9"/>
      <c r="T790" s="9"/>
      <c r="U790" s="9"/>
      <c r="V790" s="9"/>
      <c r="W790" s="9"/>
      <c r="X790" s="9"/>
      <c r="Y790" s="9"/>
      <c r="Z790" s="9"/>
    </row>
    <row r="791" ht="15.75" customHeight="1">
      <c r="A791" s="32"/>
      <c r="B791" s="9"/>
      <c r="C791" s="110"/>
      <c r="D791" s="134"/>
      <c r="E791" s="135"/>
      <c r="F791" s="9"/>
      <c r="G791" s="9"/>
      <c r="H791" s="9"/>
      <c r="I791" s="9"/>
      <c r="J791" s="9"/>
      <c r="K791" s="9"/>
      <c r="L791" s="9"/>
      <c r="M791" s="9"/>
      <c r="N791" s="9"/>
      <c r="O791" s="9"/>
      <c r="P791" s="9"/>
      <c r="Q791" s="9"/>
      <c r="R791" s="9"/>
      <c r="S791" s="9"/>
      <c r="T791" s="9"/>
      <c r="U791" s="9"/>
      <c r="V791" s="9"/>
      <c r="W791" s="9"/>
      <c r="X791" s="9"/>
      <c r="Y791" s="9"/>
      <c r="Z791" s="9"/>
    </row>
    <row r="792" ht="15.75" customHeight="1">
      <c r="A792" s="32"/>
      <c r="B792" s="9"/>
      <c r="C792" s="110"/>
      <c r="D792" s="134"/>
      <c r="E792" s="135"/>
      <c r="F792" s="9"/>
      <c r="G792" s="9"/>
      <c r="H792" s="9"/>
      <c r="I792" s="9"/>
      <c r="J792" s="9"/>
      <c r="K792" s="9"/>
      <c r="L792" s="9"/>
      <c r="M792" s="9"/>
      <c r="N792" s="9"/>
      <c r="O792" s="9"/>
      <c r="P792" s="9"/>
      <c r="Q792" s="9"/>
      <c r="R792" s="9"/>
      <c r="S792" s="9"/>
      <c r="T792" s="9"/>
      <c r="U792" s="9"/>
      <c r="V792" s="9"/>
      <c r="W792" s="9"/>
      <c r="X792" s="9"/>
      <c r="Y792" s="9"/>
      <c r="Z792" s="9"/>
    </row>
    <row r="793" ht="15.75" customHeight="1">
      <c r="A793" s="32"/>
      <c r="B793" s="9"/>
      <c r="C793" s="110"/>
      <c r="D793" s="134"/>
      <c r="E793" s="135"/>
      <c r="F793" s="9"/>
      <c r="G793" s="9"/>
      <c r="H793" s="9"/>
      <c r="I793" s="9"/>
      <c r="J793" s="9"/>
      <c r="K793" s="9"/>
      <c r="L793" s="9"/>
      <c r="M793" s="9"/>
      <c r="N793" s="9"/>
      <c r="O793" s="9"/>
      <c r="P793" s="9"/>
      <c r="Q793" s="9"/>
      <c r="R793" s="9"/>
      <c r="S793" s="9"/>
      <c r="T793" s="9"/>
      <c r="U793" s="9"/>
      <c r="V793" s="9"/>
      <c r="W793" s="9"/>
      <c r="X793" s="9"/>
      <c r="Y793" s="9"/>
      <c r="Z793" s="9"/>
    </row>
    <row r="794" ht="15.75" customHeight="1">
      <c r="A794" s="32"/>
      <c r="B794" s="9"/>
      <c r="C794" s="110"/>
      <c r="D794" s="134"/>
      <c r="E794" s="135"/>
      <c r="F794" s="9"/>
      <c r="G794" s="9"/>
      <c r="H794" s="9"/>
      <c r="I794" s="9"/>
      <c r="J794" s="9"/>
      <c r="K794" s="9"/>
      <c r="L794" s="9"/>
      <c r="M794" s="9"/>
      <c r="N794" s="9"/>
      <c r="O794" s="9"/>
      <c r="P794" s="9"/>
      <c r="Q794" s="9"/>
      <c r="R794" s="9"/>
      <c r="S794" s="9"/>
      <c r="T794" s="9"/>
      <c r="U794" s="9"/>
      <c r="V794" s="9"/>
      <c r="W794" s="9"/>
      <c r="X794" s="9"/>
      <c r="Y794" s="9"/>
      <c r="Z794" s="9"/>
    </row>
    <row r="795" ht="15.75" customHeight="1">
      <c r="A795" s="32"/>
      <c r="B795" s="9"/>
      <c r="C795" s="110"/>
      <c r="D795" s="134"/>
      <c r="E795" s="135"/>
      <c r="F795" s="9"/>
      <c r="G795" s="9"/>
      <c r="H795" s="9"/>
      <c r="I795" s="9"/>
      <c r="J795" s="9"/>
      <c r="K795" s="9"/>
      <c r="L795" s="9"/>
      <c r="M795" s="9"/>
      <c r="N795" s="9"/>
      <c r="O795" s="9"/>
      <c r="P795" s="9"/>
      <c r="Q795" s="9"/>
      <c r="R795" s="9"/>
      <c r="S795" s="9"/>
      <c r="T795" s="9"/>
      <c r="U795" s="9"/>
      <c r="V795" s="9"/>
      <c r="W795" s="9"/>
      <c r="X795" s="9"/>
      <c r="Y795" s="9"/>
      <c r="Z795" s="9"/>
    </row>
    <row r="796" ht="15.75" customHeight="1">
      <c r="A796" s="32"/>
      <c r="B796" s="9"/>
      <c r="C796" s="110"/>
      <c r="D796" s="134"/>
      <c r="E796" s="135"/>
      <c r="F796" s="9"/>
      <c r="G796" s="9"/>
      <c r="H796" s="9"/>
      <c r="I796" s="9"/>
      <c r="J796" s="9"/>
      <c r="K796" s="9"/>
      <c r="L796" s="9"/>
      <c r="M796" s="9"/>
      <c r="N796" s="9"/>
      <c r="O796" s="9"/>
      <c r="P796" s="9"/>
      <c r="Q796" s="9"/>
      <c r="R796" s="9"/>
      <c r="S796" s="9"/>
      <c r="T796" s="9"/>
      <c r="U796" s="9"/>
      <c r="V796" s="9"/>
      <c r="W796" s="9"/>
      <c r="X796" s="9"/>
      <c r="Y796" s="9"/>
      <c r="Z796" s="9"/>
    </row>
    <row r="797" ht="15.75" customHeight="1">
      <c r="A797" s="32"/>
      <c r="B797" s="9"/>
      <c r="C797" s="110"/>
      <c r="D797" s="134"/>
      <c r="E797" s="135"/>
      <c r="F797" s="9"/>
      <c r="G797" s="9"/>
      <c r="H797" s="9"/>
      <c r="I797" s="9"/>
      <c r="J797" s="9"/>
      <c r="K797" s="9"/>
      <c r="L797" s="9"/>
      <c r="M797" s="9"/>
      <c r="N797" s="9"/>
      <c r="O797" s="9"/>
      <c r="P797" s="9"/>
      <c r="Q797" s="9"/>
      <c r="R797" s="9"/>
      <c r="S797" s="9"/>
      <c r="T797" s="9"/>
      <c r="U797" s="9"/>
      <c r="V797" s="9"/>
      <c r="W797" s="9"/>
      <c r="X797" s="9"/>
      <c r="Y797" s="9"/>
      <c r="Z797" s="9"/>
    </row>
    <row r="798" ht="15.75" customHeight="1">
      <c r="A798" s="32"/>
      <c r="B798" s="9"/>
      <c r="C798" s="110"/>
      <c r="D798" s="134"/>
      <c r="E798" s="135"/>
      <c r="F798" s="9"/>
      <c r="G798" s="9"/>
      <c r="H798" s="9"/>
      <c r="I798" s="9"/>
      <c r="J798" s="9"/>
      <c r="K798" s="9"/>
      <c r="L798" s="9"/>
      <c r="M798" s="9"/>
      <c r="N798" s="9"/>
      <c r="O798" s="9"/>
      <c r="P798" s="9"/>
      <c r="Q798" s="9"/>
      <c r="R798" s="9"/>
      <c r="S798" s="9"/>
      <c r="T798" s="9"/>
      <c r="U798" s="9"/>
      <c r="V798" s="9"/>
      <c r="W798" s="9"/>
      <c r="X798" s="9"/>
      <c r="Y798" s="9"/>
      <c r="Z798" s="9"/>
    </row>
    <row r="799" ht="15.75" customHeight="1">
      <c r="A799" s="32"/>
      <c r="B799" s="9"/>
      <c r="C799" s="110"/>
      <c r="D799" s="134"/>
      <c r="E799" s="135"/>
      <c r="F799" s="9"/>
      <c r="G799" s="9"/>
      <c r="H799" s="9"/>
      <c r="I799" s="9"/>
      <c r="J799" s="9"/>
      <c r="K799" s="9"/>
      <c r="L799" s="9"/>
      <c r="M799" s="9"/>
      <c r="N799" s="9"/>
      <c r="O799" s="9"/>
      <c r="P799" s="9"/>
      <c r="Q799" s="9"/>
      <c r="R799" s="9"/>
      <c r="S799" s="9"/>
      <c r="T799" s="9"/>
      <c r="U799" s="9"/>
      <c r="V799" s="9"/>
      <c r="W799" s="9"/>
      <c r="X799" s="9"/>
      <c r="Y799" s="9"/>
      <c r="Z799" s="9"/>
    </row>
    <row r="800" ht="15.75" customHeight="1">
      <c r="A800" s="32"/>
      <c r="B800" s="9"/>
      <c r="C800" s="110"/>
      <c r="D800" s="134"/>
      <c r="E800" s="135"/>
      <c r="F800" s="9"/>
      <c r="G800" s="9"/>
      <c r="H800" s="9"/>
      <c r="I800" s="9"/>
      <c r="J800" s="9"/>
      <c r="K800" s="9"/>
      <c r="L800" s="9"/>
      <c r="M800" s="9"/>
      <c r="N800" s="9"/>
      <c r="O800" s="9"/>
      <c r="P800" s="9"/>
      <c r="Q800" s="9"/>
      <c r="R800" s="9"/>
      <c r="S800" s="9"/>
      <c r="T800" s="9"/>
      <c r="U800" s="9"/>
      <c r="V800" s="9"/>
      <c r="W800" s="9"/>
      <c r="X800" s="9"/>
      <c r="Y800" s="9"/>
      <c r="Z800" s="9"/>
    </row>
    <row r="801" ht="15.75" customHeight="1">
      <c r="A801" s="32"/>
      <c r="B801" s="9"/>
      <c r="C801" s="110"/>
      <c r="D801" s="134"/>
      <c r="E801" s="135"/>
      <c r="F801" s="9"/>
      <c r="G801" s="9"/>
      <c r="H801" s="9"/>
      <c r="I801" s="9"/>
      <c r="J801" s="9"/>
      <c r="K801" s="9"/>
      <c r="L801" s="9"/>
      <c r="M801" s="9"/>
      <c r="N801" s="9"/>
      <c r="O801" s="9"/>
      <c r="P801" s="9"/>
      <c r="Q801" s="9"/>
      <c r="R801" s="9"/>
      <c r="S801" s="9"/>
      <c r="T801" s="9"/>
      <c r="U801" s="9"/>
      <c r="V801" s="9"/>
      <c r="W801" s="9"/>
      <c r="X801" s="9"/>
      <c r="Y801" s="9"/>
      <c r="Z801" s="9"/>
    </row>
    <row r="802" ht="15.75" customHeight="1">
      <c r="A802" s="32"/>
      <c r="B802" s="9"/>
      <c r="C802" s="110"/>
      <c r="D802" s="134"/>
      <c r="E802" s="135"/>
      <c r="F802" s="9"/>
      <c r="G802" s="9"/>
      <c r="H802" s="9"/>
      <c r="I802" s="9"/>
      <c r="J802" s="9"/>
      <c r="K802" s="9"/>
      <c r="L802" s="9"/>
      <c r="M802" s="9"/>
      <c r="N802" s="9"/>
      <c r="O802" s="9"/>
      <c r="P802" s="9"/>
      <c r="Q802" s="9"/>
      <c r="R802" s="9"/>
      <c r="S802" s="9"/>
      <c r="T802" s="9"/>
      <c r="U802" s="9"/>
      <c r="V802" s="9"/>
      <c r="W802" s="9"/>
      <c r="X802" s="9"/>
      <c r="Y802" s="9"/>
      <c r="Z802" s="9"/>
    </row>
    <row r="803" ht="15.75" customHeight="1">
      <c r="A803" s="32"/>
      <c r="B803" s="9"/>
      <c r="C803" s="110"/>
      <c r="D803" s="134"/>
      <c r="E803" s="135"/>
      <c r="F803" s="9"/>
      <c r="G803" s="9"/>
      <c r="H803" s="9"/>
      <c r="I803" s="9"/>
      <c r="J803" s="9"/>
      <c r="K803" s="9"/>
      <c r="L803" s="9"/>
      <c r="M803" s="9"/>
      <c r="N803" s="9"/>
      <c r="O803" s="9"/>
      <c r="P803" s="9"/>
      <c r="Q803" s="9"/>
      <c r="R803" s="9"/>
      <c r="S803" s="9"/>
      <c r="T803" s="9"/>
      <c r="U803" s="9"/>
      <c r="V803" s="9"/>
      <c r="W803" s="9"/>
      <c r="X803" s="9"/>
      <c r="Y803" s="9"/>
      <c r="Z803" s="9"/>
    </row>
    <row r="804" ht="15.75" customHeight="1">
      <c r="A804" s="32"/>
      <c r="B804" s="9"/>
      <c r="C804" s="110"/>
      <c r="D804" s="134"/>
      <c r="E804" s="135"/>
      <c r="F804" s="9"/>
      <c r="G804" s="9"/>
      <c r="H804" s="9"/>
      <c r="I804" s="9"/>
      <c r="J804" s="9"/>
      <c r="K804" s="9"/>
      <c r="L804" s="9"/>
      <c r="M804" s="9"/>
      <c r="N804" s="9"/>
      <c r="O804" s="9"/>
      <c r="P804" s="9"/>
      <c r="Q804" s="9"/>
      <c r="R804" s="9"/>
      <c r="S804" s="9"/>
      <c r="T804" s="9"/>
      <c r="U804" s="9"/>
      <c r="V804" s="9"/>
      <c r="W804" s="9"/>
      <c r="X804" s="9"/>
      <c r="Y804" s="9"/>
      <c r="Z804" s="9"/>
    </row>
    <row r="805" ht="15.75" customHeight="1">
      <c r="A805" s="32"/>
      <c r="B805" s="9"/>
      <c r="C805" s="110"/>
      <c r="D805" s="134"/>
      <c r="E805" s="135"/>
      <c r="F805" s="9"/>
      <c r="G805" s="9"/>
      <c r="H805" s="9"/>
      <c r="I805" s="9"/>
      <c r="J805" s="9"/>
      <c r="K805" s="9"/>
      <c r="L805" s="9"/>
      <c r="M805" s="9"/>
      <c r="N805" s="9"/>
      <c r="O805" s="9"/>
      <c r="P805" s="9"/>
      <c r="Q805" s="9"/>
      <c r="R805" s="9"/>
      <c r="S805" s="9"/>
      <c r="T805" s="9"/>
      <c r="U805" s="9"/>
      <c r="V805" s="9"/>
      <c r="W805" s="9"/>
      <c r="X805" s="9"/>
      <c r="Y805" s="9"/>
      <c r="Z805" s="9"/>
    </row>
    <row r="806" ht="15.75" customHeight="1">
      <c r="A806" s="32"/>
      <c r="B806" s="9"/>
      <c r="C806" s="110"/>
      <c r="D806" s="134"/>
      <c r="E806" s="135"/>
      <c r="F806" s="9"/>
      <c r="G806" s="9"/>
      <c r="H806" s="9"/>
      <c r="I806" s="9"/>
      <c r="J806" s="9"/>
      <c r="K806" s="9"/>
      <c r="L806" s="9"/>
      <c r="M806" s="9"/>
      <c r="N806" s="9"/>
      <c r="O806" s="9"/>
      <c r="P806" s="9"/>
      <c r="Q806" s="9"/>
      <c r="R806" s="9"/>
      <c r="S806" s="9"/>
      <c r="T806" s="9"/>
      <c r="U806" s="9"/>
      <c r="V806" s="9"/>
      <c r="W806" s="9"/>
      <c r="X806" s="9"/>
      <c r="Y806" s="9"/>
      <c r="Z806" s="9"/>
    </row>
    <row r="807" ht="15.75" customHeight="1">
      <c r="A807" s="32"/>
      <c r="B807" s="9"/>
      <c r="C807" s="110"/>
      <c r="D807" s="134"/>
      <c r="E807" s="135"/>
      <c r="F807" s="9"/>
      <c r="G807" s="9"/>
      <c r="H807" s="9"/>
      <c r="I807" s="9"/>
      <c r="J807" s="9"/>
      <c r="K807" s="9"/>
      <c r="L807" s="9"/>
      <c r="M807" s="9"/>
      <c r="N807" s="9"/>
      <c r="O807" s="9"/>
      <c r="P807" s="9"/>
      <c r="Q807" s="9"/>
      <c r="R807" s="9"/>
      <c r="S807" s="9"/>
      <c r="T807" s="9"/>
      <c r="U807" s="9"/>
      <c r="V807" s="9"/>
      <c r="W807" s="9"/>
      <c r="X807" s="9"/>
      <c r="Y807" s="9"/>
      <c r="Z807" s="9"/>
    </row>
    <row r="808" ht="15.75" customHeight="1">
      <c r="A808" s="32"/>
      <c r="B808" s="9"/>
      <c r="C808" s="110"/>
      <c r="D808" s="134"/>
      <c r="E808" s="135"/>
      <c r="F808" s="9"/>
      <c r="G808" s="9"/>
      <c r="H808" s="9"/>
      <c r="I808" s="9"/>
      <c r="J808" s="9"/>
      <c r="K808" s="9"/>
      <c r="L808" s="9"/>
      <c r="M808" s="9"/>
      <c r="N808" s="9"/>
      <c r="O808" s="9"/>
      <c r="P808" s="9"/>
      <c r="Q808" s="9"/>
      <c r="R808" s="9"/>
      <c r="S808" s="9"/>
      <c r="T808" s="9"/>
      <c r="U808" s="9"/>
      <c r="V808" s="9"/>
      <c r="W808" s="9"/>
      <c r="X808" s="9"/>
      <c r="Y808" s="9"/>
      <c r="Z808" s="9"/>
    </row>
    <row r="809" ht="15.75" customHeight="1">
      <c r="A809" s="32"/>
      <c r="B809" s="9"/>
      <c r="C809" s="110"/>
      <c r="D809" s="134"/>
      <c r="E809" s="135"/>
      <c r="F809" s="9"/>
      <c r="G809" s="9"/>
      <c r="H809" s="9"/>
      <c r="I809" s="9"/>
      <c r="J809" s="9"/>
      <c r="K809" s="9"/>
      <c r="L809" s="9"/>
      <c r="M809" s="9"/>
      <c r="N809" s="9"/>
      <c r="O809" s="9"/>
      <c r="P809" s="9"/>
      <c r="Q809" s="9"/>
      <c r="R809" s="9"/>
      <c r="S809" s="9"/>
      <c r="T809" s="9"/>
      <c r="U809" s="9"/>
      <c r="V809" s="9"/>
      <c r="W809" s="9"/>
      <c r="X809" s="9"/>
      <c r="Y809" s="9"/>
      <c r="Z809" s="9"/>
    </row>
    <row r="810" ht="15.75" customHeight="1">
      <c r="A810" s="32"/>
      <c r="B810" s="9"/>
      <c r="C810" s="110"/>
      <c r="D810" s="134"/>
      <c r="E810" s="135"/>
      <c r="F810" s="9"/>
      <c r="G810" s="9"/>
      <c r="H810" s="9"/>
      <c r="I810" s="9"/>
      <c r="J810" s="9"/>
      <c r="K810" s="9"/>
      <c r="L810" s="9"/>
      <c r="M810" s="9"/>
      <c r="N810" s="9"/>
      <c r="O810" s="9"/>
      <c r="P810" s="9"/>
      <c r="Q810" s="9"/>
      <c r="R810" s="9"/>
      <c r="S810" s="9"/>
      <c r="T810" s="9"/>
      <c r="U810" s="9"/>
      <c r="V810" s="9"/>
      <c r="W810" s="9"/>
      <c r="X810" s="9"/>
      <c r="Y810" s="9"/>
      <c r="Z810" s="9"/>
    </row>
    <row r="811" ht="15.75" customHeight="1">
      <c r="A811" s="32"/>
      <c r="B811" s="9"/>
      <c r="C811" s="110"/>
      <c r="D811" s="134"/>
      <c r="E811" s="135"/>
      <c r="F811" s="9"/>
      <c r="G811" s="9"/>
      <c r="H811" s="9"/>
      <c r="I811" s="9"/>
      <c r="J811" s="9"/>
      <c r="K811" s="9"/>
      <c r="L811" s="9"/>
      <c r="M811" s="9"/>
      <c r="N811" s="9"/>
      <c r="O811" s="9"/>
      <c r="P811" s="9"/>
      <c r="Q811" s="9"/>
      <c r="R811" s="9"/>
      <c r="S811" s="9"/>
      <c r="T811" s="9"/>
      <c r="U811" s="9"/>
      <c r="V811" s="9"/>
      <c r="W811" s="9"/>
      <c r="X811" s="9"/>
      <c r="Y811" s="9"/>
      <c r="Z811" s="9"/>
    </row>
    <row r="812" ht="15.75" customHeight="1">
      <c r="A812" s="32"/>
      <c r="B812" s="9"/>
      <c r="C812" s="110"/>
      <c r="D812" s="134"/>
      <c r="E812" s="135"/>
      <c r="F812" s="9"/>
      <c r="G812" s="9"/>
      <c r="H812" s="9"/>
      <c r="I812" s="9"/>
      <c r="J812" s="9"/>
      <c r="K812" s="9"/>
      <c r="L812" s="9"/>
      <c r="M812" s="9"/>
      <c r="N812" s="9"/>
      <c r="O812" s="9"/>
      <c r="P812" s="9"/>
      <c r="Q812" s="9"/>
      <c r="R812" s="9"/>
      <c r="S812" s="9"/>
      <c r="T812" s="9"/>
      <c r="U812" s="9"/>
      <c r="V812" s="9"/>
      <c r="W812" s="9"/>
      <c r="X812" s="9"/>
      <c r="Y812" s="9"/>
      <c r="Z812" s="9"/>
    </row>
    <row r="813" ht="15.75" customHeight="1">
      <c r="A813" s="32"/>
      <c r="B813" s="9"/>
      <c r="C813" s="110"/>
      <c r="D813" s="134"/>
      <c r="E813" s="135"/>
      <c r="F813" s="9"/>
      <c r="G813" s="9"/>
      <c r="H813" s="9"/>
      <c r="I813" s="9"/>
      <c r="J813" s="9"/>
      <c r="K813" s="9"/>
      <c r="L813" s="9"/>
      <c r="M813" s="9"/>
      <c r="N813" s="9"/>
      <c r="O813" s="9"/>
      <c r="P813" s="9"/>
      <c r="Q813" s="9"/>
      <c r="R813" s="9"/>
      <c r="S813" s="9"/>
      <c r="T813" s="9"/>
      <c r="U813" s="9"/>
      <c r="V813" s="9"/>
      <c r="W813" s="9"/>
      <c r="X813" s="9"/>
      <c r="Y813" s="9"/>
      <c r="Z813" s="9"/>
    </row>
    <row r="814" ht="15.75" customHeight="1">
      <c r="A814" s="32"/>
      <c r="B814" s="9"/>
      <c r="C814" s="110"/>
      <c r="D814" s="134"/>
      <c r="E814" s="135"/>
      <c r="F814" s="9"/>
      <c r="G814" s="9"/>
      <c r="H814" s="9"/>
      <c r="I814" s="9"/>
      <c r="J814" s="9"/>
      <c r="K814" s="9"/>
      <c r="L814" s="9"/>
      <c r="M814" s="9"/>
      <c r="N814" s="9"/>
      <c r="O814" s="9"/>
      <c r="P814" s="9"/>
      <c r="Q814" s="9"/>
      <c r="R814" s="9"/>
      <c r="S814" s="9"/>
      <c r="T814" s="9"/>
      <c r="U814" s="9"/>
      <c r="V814" s="9"/>
      <c r="W814" s="9"/>
      <c r="X814" s="9"/>
      <c r="Y814" s="9"/>
      <c r="Z814" s="9"/>
    </row>
    <row r="815" ht="15.75" customHeight="1">
      <c r="A815" s="32"/>
      <c r="B815" s="9"/>
      <c r="C815" s="110"/>
      <c r="D815" s="134"/>
      <c r="E815" s="135"/>
      <c r="F815" s="9"/>
      <c r="G815" s="9"/>
      <c r="H815" s="9"/>
      <c r="I815" s="9"/>
      <c r="J815" s="9"/>
      <c r="K815" s="9"/>
      <c r="L815" s="9"/>
      <c r="M815" s="9"/>
      <c r="N815" s="9"/>
      <c r="O815" s="9"/>
      <c r="P815" s="9"/>
      <c r="Q815" s="9"/>
      <c r="R815" s="9"/>
      <c r="S815" s="9"/>
      <c r="T815" s="9"/>
      <c r="U815" s="9"/>
      <c r="V815" s="9"/>
      <c r="W815" s="9"/>
      <c r="X815" s="9"/>
      <c r="Y815" s="9"/>
      <c r="Z815" s="9"/>
    </row>
    <row r="816" ht="15.75" customHeight="1">
      <c r="A816" s="32"/>
      <c r="B816" s="9"/>
      <c r="C816" s="110"/>
      <c r="D816" s="134"/>
      <c r="E816" s="135"/>
      <c r="F816" s="9"/>
      <c r="G816" s="9"/>
      <c r="H816" s="9"/>
      <c r="I816" s="9"/>
      <c r="J816" s="9"/>
      <c r="K816" s="9"/>
      <c r="L816" s="9"/>
      <c r="M816" s="9"/>
      <c r="N816" s="9"/>
      <c r="O816" s="9"/>
      <c r="P816" s="9"/>
      <c r="Q816" s="9"/>
      <c r="R816" s="9"/>
      <c r="S816" s="9"/>
      <c r="T816" s="9"/>
      <c r="U816" s="9"/>
      <c r="V816" s="9"/>
      <c r="W816" s="9"/>
      <c r="X816" s="9"/>
      <c r="Y816" s="9"/>
      <c r="Z816" s="9"/>
    </row>
    <row r="817" ht="15.75" customHeight="1">
      <c r="A817" s="32"/>
      <c r="B817" s="9"/>
      <c r="C817" s="110"/>
      <c r="D817" s="134"/>
      <c r="E817" s="135"/>
      <c r="F817" s="9"/>
      <c r="G817" s="9"/>
      <c r="H817" s="9"/>
      <c r="I817" s="9"/>
      <c r="J817" s="9"/>
      <c r="K817" s="9"/>
      <c r="L817" s="9"/>
      <c r="M817" s="9"/>
      <c r="N817" s="9"/>
      <c r="O817" s="9"/>
      <c r="P817" s="9"/>
      <c r="Q817" s="9"/>
      <c r="R817" s="9"/>
      <c r="S817" s="9"/>
      <c r="T817" s="9"/>
      <c r="U817" s="9"/>
      <c r="V817" s="9"/>
      <c r="W817" s="9"/>
      <c r="X817" s="9"/>
      <c r="Y817" s="9"/>
      <c r="Z817" s="9"/>
    </row>
    <row r="818" ht="15.75" customHeight="1">
      <c r="A818" s="32"/>
      <c r="B818" s="9"/>
      <c r="C818" s="110"/>
      <c r="D818" s="134"/>
      <c r="E818" s="135"/>
      <c r="F818" s="9"/>
      <c r="G818" s="9"/>
      <c r="H818" s="9"/>
      <c r="I818" s="9"/>
      <c r="J818" s="9"/>
      <c r="K818" s="9"/>
      <c r="L818" s="9"/>
      <c r="M818" s="9"/>
      <c r="N818" s="9"/>
      <c r="O818" s="9"/>
      <c r="P818" s="9"/>
      <c r="Q818" s="9"/>
      <c r="R818" s="9"/>
      <c r="S818" s="9"/>
      <c r="T818" s="9"/>
      <c r="U818" s="9"/>
      <c r="V818" s="9"/>
      <c r="W818" s="9"/>
      <c r="X818" s="9"/>
      <c r="Y818" s="9"/>
      <c r="Z818" s="9"/>
    </row>
    <row r="819" ht="15.75" customHeight="1">
      <c r="A819" s="32"/>
      <c r="B819" s="9"/>
      <c r="C819" s="110"/>
      <c r="D819" s="134"/>
      <c r="E819" s="135"/>
      <c r="F819" s="9"/>
      <c r="G819" s="9"/>
      <c r="H819" s="9"/>
      <c r="I819" s="9"/>
      <c r="J819" s="9"/>
      <c r="K819" s="9"/>
      <c r="L819" s="9"/>
      <c r="M819" s="9"/>
      <c r="N819" s="9"/>
      <c r="O819" s="9"/>
      <c r="P819" s="9"/>
      <c r="Q819" s="9"/>
      <c r="R819" s="9"/>
      <c r="S819" s="9"/>
      <c r="T819" s="9"/>
      <c r="U819" s="9"/>
      <c r="V819" s="9"/>
      <c r="W819" s="9"/>
      <c r="X819" s="9"/>
      <c r="Y819" s="9"/>
      <c r="Z819" s="9"/>
    </row>
    <row r="820" ht="15.75" customHeight="1">
      <c r="A820" s="32"/>
      <c r="B820" s="9"/>
      <c r="C820" s="110"/>
      <c r="D820" s="134"/>
      <c r="E820" s="135"/>
      <c r="F820" s="9"/>
      <c r="G820" s="9"/>
      <c r="H820" s="9"/>
      <c r="I820" s="9"/>
      <c r="J820" s="9"/>
      <c r="K820" s="9"/>
      <c r="L820" s="9"/>
      <c r="M820" s="9"/>
      <c r="N820" s="9"/>
      <c r="O820" s="9"/>
      <c r="P820" s="9"/>
      <c r="Q820" s="9"/>
      <c r="R820" s="9"/>
      <c r="S820" s="9"/>
      <c r="T820" s="9"/>
      <c r="U820" s="9"/>
      <c r="V820" s="9"/>
      <c r="W820" s="9"/>
      <c r="X820" s="9"/>
      <c r="Y820" s="9"/>
      <c r="Z820" s="9"/>
    </row>
    <row r="821" ht="15.75" customHeight="1">
      <c r="A821" s="32"/>
      <c r="B821" s="9"/>
      <c r="C821" s="110"/>
      <c r="D821" s="134"/>
      <c r="E821" s="135"/>
      <c r="F821" s="9"/>
      <c r="G821" s="9"/>
      <c r="H821" s="9"/>
      <c r="I821" s="9"/>
      <c r="J821" s="9"/>
      <c r="K821" s="9"/>
      <c r="L821" s="9"/>
      <c r="M821" s="9"/>
      <c r="N821" s="9"/>
      <c r="O821" s="9"/>
      <c r="P821" s="9"/>
      <c r="Q821" s="9"/>
      <c r="R821" s="9"/>
      <c r="S821" s="9"/>
      <c r="T821" s="9"/>
      <c r="U821" s="9"/>
      <c r="V821" s="9"/>
      <c r="W821" s="9"/>
      <c r="X821" s="9"/>
      <c r="Y821" s="9"/>
      <c r="Z821" s="9"/>
    </row>
    <row r="822" ht="15.75" customHeight="1">
      <c r="A822" s="32"/>
      <c r="B822" s="9"/>
      <c r="C822" s="110"/>
      <c r="D822" s="134"/>
      <c r="E822" s="135"/>
      <c r="F822" s="9"/>
      <c r="G822" s="9"/>
      <c r="H822" s="9"/>
      <c r="I822" s="9"/>
      <c r="J822" s="9"/>
      <c r="K822" s="9"/>
      <c r="L822" s="9"/>
      <c r="M822" s="9"/>
      <c r="N822" s="9"/>
      <c r="O822" s="9"/>
      <c r="P822" s="9"/>
      <c r="Q822" s="9"/>
      <c r="R822" s="9"/>
      <c r="S822" s="9"/>
      <c r="T822" s="9"/>
      <c r="U822" s="9"/>
      <c r="V822" s="9"/>
      <c r="W822" s="9"/>
      <c r="X822" s="9"/>
      <c r="Y822" s="9"/>
      <c r="Z822" s="9"/>
    </row>
    <row r="823" ht="15.75" customHeight="1">
      <c r="A823" s="32"/>
      <c r="B823" s="9"/>
      <c r="C823" s="110"/>
      <c r="D823" s="134"/>
      <c r="E823" s="135"/>
      <c r="F823" s="9"/>
      <c r="G823" s="9"/>
      <c r="H823" s="9"/>
      <c r="I823" s="9"/>
      <c r="J823" s="9"/>
      <c r="K823" s="9"/>
      <c r="L823" s="9"/>
      <c r="M823" s="9"/>
      <c r="N823" s="9"/>
      <c r="O823" s="9"/>
      <c r="P823" s="9"/>
      <c r="Q823" s="9"/>
      <c r="R823" s="9"/>
      <c r="S823" s="9"/>
      <c r="T823" s="9"/>
      <c r="U823" s="9"/>
      <c r="V823" s="9"/>
      <c r="W823" s="9"/>
      <c r="X823" s="9"/>
      <c r="Y823" s="9"/>
      <c r="Z823" s="9"/>
    </row>
    <row r="824" ht="15.75" customHeight="1">
      <c r="A824" s="32"/>
      <c r="B824" s="9"/>
      <c r="C824" s="110"/>
      <c r="D824" s="134"/>
      <c r="E824" s="135"/>
      <c r="F824" s="9"/>
      <c r="G824" s="9"/>
      <c r="H824" s="9"/>
      <c r="I824" s="9"/>
      <c r="J824" s="9"/>
      <c r="K824" s="9"/>
      <c r="L824" s="9"/>
      <c r="M824" s="9"/>
      <c r="N824" s="9"/>
      <c r="O824" s="9"/>
      <c r="P824" s="9"/>
      <c r="Q824" s="9"/>
      <c r="R824" s="9"/>
      <c r="S824" s="9"/>
      <c r="T824" s="9"/>
      <c r="U824" s="9"/>
      <c r="V824" s="9"/>
      <c r="W824" s="9"/>
      <c r="X824" s="9"/>
      <c r="Y824" s="9"/>
      <c r="Z824" s="9"/>
    </row>
    <row r="825" ht="15.75" customHeight="1">
      <c r="A825" s="32"/>
      <c r="B825" s="9"/>
      <c r="C825" s="110"/>
      <c r="D825" s="134"/>
      <c r="E825" s="135"/>
      <c r="F825" s="9"/>
      <c r="G825" s="9"/>
      <c r="H825" s="9"/>
      <c r="I825" s="9"/>
      <c r="J825" s="9"/>
      <c r="K825" s="9"/>
      <c r="L825" s="9"/>
      <c r="M825" s="9"/>
      <c r="N825" s="9"/>
      <c r="O825" s="9"/>
      <c r="P825" s="9"/>
      <c r="Q825" s="9"/>
      <c r="R825" s="9"/>
      <c r="S825" s="9"/>
      <c r="T825" s="9"/>
      <c r="U825" s="9"/>
      <c r="V825" s="9"/>
      <c r="W825" s="9"/>
      <c r="X825" s="9"/>
      <c r="Y825" s="9"/>
      <c r="Z825" s="9"/>
    </row>
    <row r="826" ht="15.75" customHeight="1">
      <c r="A826" s="32"/>
      <c r="B826" s="9"/>
      <c r="C826" s="110"/>
      <c r="D826" s="134"/>
      <c r="E826" s="135"/>
      <c r="F826" s="9"/>
      <c r="G826" s="9"/>
      <c r="H826" s="9"/>
      <c r="I826" s="9"/>
      <c r="J826" s="9"/>
      <c r="K826" s="9"/>
      <c r="L826" s="9"/>
      <c r="M826" s="9"/>
      <c r="N826" s="9"/>
      <c r="O826" s="9"/>
      <c r="P826" s="9"/>
      <c r="Q826" s="9"/>
      <c r="R826" s="9"/>
      <c r="S826" s="9"/>
      <c r="T826" s="9"/>
      <c r="U826" s="9"/>
      <c r="V826" s="9"/>
      <c r="W826" s="9"/>
      <c r="X826" s="9"/>
      <c r="Y826" s="9"/>
      <c r="Z826" s="9"/>
    </row>
    <row r="827" ht="15.75" customHeight="1">
      <c r="A827" s="32"/>
      <c r="B827" s="9"/>
      <c r="C827" s="110"/>
      <c r="D827" s="134"/>
      <c r="E827" s="135"/>
      <c r="F827" s="9"/>
      <c r="G827" s="9"/>
      <c r="H827" s="9"/>
      <c r="I827" s="9"/>
      <c r="J827" s="9"/>
      <c r="K827" s="9"/>
      <c r="L827" s="9"/>
      <c r="M827" s="9"/>
      <c r="N827" s="9"/>
      <c r="O827" s="9"/>
      <c r="P827" s="9"/>
      <c r="Q827" s="9"/>
      <c r="R827" s="9"/>
      <c r="S827" s="9"/>
      <c r="T827" s="9"/>
      <c r="U827" s="9"/>
      <c r="V827" s="9"/>
      <c r="W827" s="9"/>
      <c r="X827" s="9"/>
      <c r="Y827" s="9"/>
      <c r="Z827" s="9"/>
    </row>
    <row r="828" ht="15.75" customHeight="1">
      <c r="A828" s="32"/>
      <c r="B828" s="9"/>
      <c r="C828" s="110"/>
      <c r="D828" s="134"/>
      <c r="E828" s="135"/>
      <c r="F828" s="9"/>
      <c r="G828" s="9"/>
      <c r="H828" s="9"/>
      <c r="I828" s="9"/>
      <c r="J828" s="9"/>
      <c r="K828" s="9"/>
      <c r="L828" s="9"/>
      <c r="M828" s="9"/>
      <c r="N828" s="9"/>
      <c r="O828" s="9"/>
      <c r="P828" s="9"/>
      <c r="Q828" s="9"/>
      <c r="R828" s="9"/>
      <c r="S828" s="9"/>
      <c r="T828" s="9"/>
      <c r="U828" s="9"/>
      <c r="V828" s="9"/>
      <c r="W828" s="9"/>
      <c r="X828" s="9"/>
      <c r="Y828" s="9"/>
      <c r="Z828" s="9"/>
    </row>
    <row r="829" ht="15.75" customHeight="1">
      <c r="A829" s="32"/>
      <c r="B829" s="9"/>
      <c r="C829" s="110"/>
      <c r="D829" s="134"/>
      <c r="E829" s="135"/>
      <c r="F829" s="9"/>
      <c r="G829" s="9"/>
      <c r="H829" s="9"/>
      <c r="I829" s="9"/>
      <c r="J829" s="9"/>
      <c r="K829" s="9"/>
      <c r="L829" s="9"/>
      <c r="M829" s="9"/>
      <c r="N829" s="9"/>
      <c r="O829" s="9"/>
      <c r="P829" s="9"/>
      <c r="Q829" s="9"/>
      <c r="R829" s="9"/>
      <c r="S829" s="9"/>
      <c r="T829" s="9"/>
      <c r="U829" s="9"/>
      <c r="V829" s="9"/>
      <c r="W829" s="9"/>
      <c r="X829" s="9"/>
      <c r="Y829" s="9"/>
      <c r="Z829" s="9"/>
    </row>
    <row r="830" ht="15.75" customHeight="1">
      <c r="A830" s="32"/>
      <c r="B830" s="9"/>
      <c r="C830" s="110"/>
      <c r="D830" s="134"/>
      <c r="E830" s="135"/>
      <c r="F830" s="9"/>
      <c r="G830" s="9"/>
      <c r="H830" s="9"/>
      <c r="I830" s="9"/>
      <c r="J830" s="9"/>
      <c r="K830" s="9"/>
      <c r="L830" s="9"/>
      <c r="M830" s="9"/>
      <c r="N830" s="9"/>
      <c r="O830" s="9"/>
      <c r="P830" s="9"/>
      <c r="Q830" s="9"/>
      <c r="R830" s="9"/>
      <c r="S830" s="9"/>
      <c r="T830" s="9"/>
      <c r="U830" s="9"/>
      <c r="V830" s="9"/>
      <c r="W830" s="9"/>
      <c r="X830" s="9"/>
      <c r="Y830" s="9"/>
      <c r="Z830" s="9"/>
    </row>
    <row r="831" ht="15.75" customHeight="1">
      <c r="A831" s="32"/>
      <c r="B831" s="9"/>
      <c r="C831" s="110"/>
      <c r="D831" s="134"/>
      <c r="E831" s="135"/>
      <c r="F831" s="9"/>
      <c r="G831" s="9"/>
      <c r="H831" s="9"/>
      <c r="I831" s="9"/>
      <c r="J831" s="9"/>
      <c r="K831" s="9"/>
      <c r="L831" s="9"/>
      <c r="M831" s="9"/>
      <c r="N831" s="9"/>
      <c r="O831" s="9"/>
      <c r="P831" s="9"/>
      <c r="Q831" s="9"/>
      <c r="R831" s="9"/>
      <c r="S831" s="9"/>
      <c r="T831" s="9"/>
      <c r="U831" s="9"/>
      <c r="V831" s="9"/>
      <c r="W831" s="9"/>
      <c r="X831" s="9"/>
      <c r="Y831" s="9"/>
      <c r="Z831" s="9"/>
    </row>
    <row r="832" ht="15.75" customHeight="1">
      <c r="A832" s="32"/>
      <c r="B832" s="9"/>
      <c r="C832" s="110"/>
      <c r="D832" s="134"/>
      <c r="E832" s="135"/>
      <c r="F832" s="9"/>
      <c r="G832" s="9"/>
      <c r="H832" s="9"/>
      <c r="I832" s="9"/>
      <c r="J832" s="9"/>
      <c r="K832" s="9"/>
      <c r="L832" s="9"/>
      <c r="M832" s="9"/>
      <c r="N832" s="9"/>
      <c r="O832" s="9"/>
      <c r="P832" s="9"/>
      <c r="Q832" s="9"/>
      <c r="R832" s="9"/>
      <c r="S832" s="9"/>
      <c r="T832" s="9"/>
      <c r="U832" s="9"/>
      <c r="V832" s="9"/>
      <c r="W832" s="9"/>
      <c r="X832" s="9"/>
      <c r="Y832" s="9"/>
      <c r="Z832" s="9"/>
    </row>
    <row r="833" ht="15.75" customHeight="1">
      <c r="A833" s="32"/>
      <c r="B833" s="9"/>
      <c r="C833" s="110"/>
      <c r="D833" s="134"/>
      <c r="E833" s="135"/>
      <c r="F833" s="9"/>
      <c r="G833" s="9"/>
      <c r="H833" s="9"/>
      <c r="I833" s="9"/>
      <c r="J833" s="9"/>
      <c r="K833" s="9"/>
      <c r="L833" s="9"/>
      <c r="M833" s="9"/>
      <c r="N833" s="9"/>
      <c r="O833" s="9"/>
      <c r="P833" s="9"/>
      <c r="Q833" s="9"/>
      <c r="R833" s="9"/>
      <c r="S833" s="9"/>
      <c r="T833" s="9"/>
      <c r="U833" s="9"/>
      <c r="V833" s="9"/>
      <c r="W833" s="9"/>
      <c r="X833" s="9"/>
      <c r="Y833" s="9"/>
      <c r="Z833" s="9"/>
    </row>
    <row r="834" ht="15.75" customHeight="1">
      <c r="A834" s="32"/>
      <c r="B834" s="9"/>
      <c r="C834" s="110"/>
      <c r="D834" s="134"/>
      <c r="E834" s="135"/>
      <c r="F834" s="9"/>
      <c r="G834" s="9"/>
      <c r="H834" s="9"/>
      <c r="I834" s="9"/>
      <c r="J834" s="9"/>
      <c r="K834" s="9"/>
      <c r="L834" s="9"/>
      <c r="M834" s="9"/>
      <c r="N834" s="9"/>
      <c r="O834" s="9"/>
      <c r="P834" s="9"/>
      <c r="Q834" s="9"/>
      <c r="R834" s="9"/>
      <c r="S834" s="9"/>
      <c r="T834" s="9"/>
      <c r="U834" s="9"/>
      <c r="V834" s="9"/>
      <c r="W834" s="9"/>
      <c r="X834" s="9"/>
      <c r="Y834" s="9"/>
      <c r="Z834" s="9"/>
    </row>
    <row r="835" ht="15.75" customHeight="1">
      <c r="A835" s="32"/>
      <c r="B835" s="9"/>
      <c r="C835" s="110"/>
      <c r="D835" s="134"/>
      <c r="E835" s="135"/>
      <c r="F835" s="9"/>
      <c r="G835" s="9"/>
      <c r="H835" s="9"/>
      <c r="I835" s="9"/>
      <c r="J835" s="9"/>
      <c r="K835" s="9"/>
      <c r="L835" s="9"/>
      <c r="M835" s="9"/>
      <c r="N835" s="9"/>
      <c r="O835" s="9"/>
      <c r="P835" s="9"/>
      <c r="Q835" s="9"/>
      <c r="R835" s="9"/>
      <c r="S835" s="9"/>
      <c r="T835" s="9"/>
      <c r="U835" s="9"/>
      <c r="V835" s="9"/>
      <c r="W835" s="9"/>
      <c r="X835" s="9"/>
      <c r="Y835" s="9"/>
      <c r="Z835" s="9"/>
    </row>
    <row r="836" ht="15.75" customHeight="1">
      <c r="A836" s="32"/>
      <c r="B836" s="9"/>
      <c r="C836" s="110"/>
      <c r="D836" s="134"/>
      <c r="E836" s="135"/>
      <c r="F836" s="9"/>
      <c r="G836" s="9"/>
      <c r="H836" s="9"/>
      <c r="I836" s="9"/>
      <c r="J836" s="9"/>
      <c r="K836" s="9"/>
      <c r="L836" s="9"/>
      <c r="M836" s="9"/>
      <c r="N836" s="9"/>
      <c r="O836" s="9"/>
      <c r="P836" s="9"/>
      <c r="Q836" s="9"/>
      <c r="R836" s="9"/>
      <c r="S836" s="9"/>
      <c r="T836" s="9"/>
      <c r="U836" s="9"/>
      <c r="V836" s="9"/>
      <c r="W836" s="9"/>
      <c r="X836" s="9"/>
      <c r="Y836" s="9"/>
      <c r="Z836" s="9"/>
    </row>
    <row r="837" ht="15.75" customHeight="1">
      <c r="A837" s="32"/>
      <c r="B837" s="9"/>
      <c r="C837" s="110"/>
      <c r="D837" s="134"/>
      <c r="E837" s="135"/>
      <c r="F837" s="9"/>
      <c r="G837" s="9"/>
      <c r="H837" s="9"/>
      <c r="I837" s="9"/>
      <c r="J837" s="9"/>
      <c r="K837" s="9"/>
      <c r="L837" s="9"/>
      <c r="M837" s="9"/>
      <c r="N837" s="9"/>
      <c r="O837" s="9"/>
      <c r="P837" s="9"/>
      <c r="Q837" s="9"/>
      <c r="R837" s="9"/>
      <c r="S837" s="9"/>
      <c r="T837" s="9"/>
      <c r="U837" s="9"/>
      <c r="V837" s="9"/>
      <c r="W837" s="9"/>
      <c r="X837" s="9"/>
      <c r="Y837" s="9"/>
      <c r="Z837" s="9"/>
    </row>
    <row r="838" ht="15.75" customHeight="1">
      <c r="A838" s="32"/>
      <c r="B838" s="9"/>
      <c r="C838" s="110"/>
      <c r="D838" s="134"/>
      <c r="E838" s="135"/>
      <c r="F838" s="9"/>
      <c r="G838" s="9"/>
      <c r="H838" s="9"/>
      <c r="I838" s="9"/>
      <c r="J838" s="9"/>
      <c r="K838" s="9"/>
      <c r="L838" s="9"/>
      <c r="M838" s="9"/>
      <c r="N838" s="9"/>
      <c r="O838" s="9"/>
      <c r="P838" s="9"/>
      <c r="Q838" s="9"/>
      <c r="R838" s="9"/>
      <c r="S838" s="9"/>
      <c r="T838" s="9"/>
      <c r="U838" s="9"/>
      <c r="V838" s="9"/>
      <c r="W838" s="9"/>
      <c r="X838" s="9"/>
      <c r="Y838" s="9"/>
      <c r="Z838" s="9"/>
    </row>
    <row r="839" ht="15.75" customHeight="1">
      <c r="A839" s="32"/>
      <c r="B839" s="9"/>
      <c r="C839" s="110"/>
      <c r="D839" s="134"/>
      <c r="E839" s="135"/>
      <c r="F839" s="9"/>
      <c r="G839" s="9"/>
      <c r="H839" s="9"/>
      <c r="I839" s="9"/>
      <c r="J839" s="9"/>
      <c r="K839" s="9"/>
      <c r="L839" s="9"/>
      <c r="M839" s="9"/>
      <c r="N839" s="9"/>
      <c r="O839" s="9"/>
      <c r="P839" s="9"/>
      <c r="Q839" s="9"/>
      <c r="R839" s="9"/>
      <c r="S839" s="9"/>
      <c r="T839" s="9"/>
      <c r="U839" s="9"/>
      <c r="V839" s="9"/>
      <c r="W839" s="9"/>
      <c r="X839" s="9"/>
      <c r="Y839" s="9"/>
      <c r="Z839" s="9"/>
    </row>
    <row r="840" ht="15.75" customHeight="1">
      <c r="A840" s="32"/>
      <c r="B840" s="9"/>
      <c r="C840" s="110"/>
      <c r="D840" s="134"/>
      <c r="E840" s="135"/>
      <c r="F840" s="9"/>
      <c r="G840" s="9"/>
      <c r="H840" s="9"/>
      <c r="I840" s="9"/>
      <c r="J840" s="9"/>
      <c r="K840" s="9"/>
      <c r="L840" s="9"/>
      <c r="M840" s="9"/>
      <c r="N840" s="9"/>
      <c r="O840" s="9"/>
      <c r="P840" s="9"/>
      <c r="Q840" s="9"/>
      <c r="R840" s="9"/>
      <c r="S840" s="9"/>
      <c r="T840" s="9"/>
      <c r="U840" s="9"/>
      <c r="V840" s="9"/>
      <c r="W840" s="9"/>
      <c r="X840" s="9"/>
      <c r="Y840" s="9"/>
      <c r="Z840" s="9"/>
    </row>
    <row r="841" ht="15.75" customHeight="1">
      <c r="A841" s="32"/>
      <c r="B841" s="9"/>
      <c r="C841" s="110"/>
      <c r="D841" s="134"/>
      <c r="E841" s="135"/>
      <c r="F841" s="9"/>
      <c r="G841" s="9"/>
      <c r="H841" s="9"/>
      <c r="I841" s="9"/>
      <c r="J841" s="9"/>
      <c r="K841" s="9"/>
      <c r="L841" s="9"/>
      <c r="M841" s="9"/>
      <c r="N841" s="9"/>
      <c r="O841" s="9"/>
      <c r="P841" s="9"/>
      <c r="Q841" s="9"/>
      <c r="R841" s="9"/>
      <c r="S841" s="9"/>
      <c r="T841" s="9"/>
      <c r="U841" s="9"/>
      <c r="V841" s="9"/>
      <c r="W841" s="9"/>
      <c r="X841" s="9"/>
      <c r="Y841" s="9"/>
      <c r="Z841" s="9"/>
    </row>
    <row r="842" ht="15.75" customHeight="1">
      <c r="A842" s="32"/>
      <c r="B842" s="9"/>
      <c r="C842" s="110"/>
      <c r="D842" s="134"/>
      <c r="E842" s="135"/>
      <c r="F842" s="9"/>
      <c r="G842" s="9"/>
      <c r="H842" s="9"/>
      <c r="I842" s="9"/>
      <c r="J842" s="9"/>
      <c r="K842" s="9"/>
      <c r="L842" s="9"/>
      <c r="M842" s="9"/>
      <c r="N842" s="9"/>
      <c r="O842" s="9"/>
      <c r="P842" s="9"/>
      <c r="Q842" s="9"/>
      <c r="R842" s="9"/>
      <c r="S842" s="9"/>
      <c r="T842" s="9"/>
      <c r="U842" s="9"/>
      <c r="V842" s="9"/>
      <c r="W842" s="9"/>
      <c r="X842" s="9"/>
      <c r="Y842" s="9"/>
      <c r="Z842" s="9"/>
    </row>
    <row r="843" ht="15.75" customHeight="1">
      <c r="A843" s="32"/>
      <c r="B843" s="9"/>
      <c r="C843" s="110"/>
      <c r="D843" s="134"/>
      <c r="E843" s="135"/>
      <c r="F843" s="9"/>
      <c r="G843" s="9"/>
      <c r="H843" s="9"/>
      <c r="I843" s="9"/>
      <c r="J843" s="9"/>
      <c r="K843" s="9"/>
      <c r="L843" s="9"/>
      <c r="M843" s="9"/>
      <c r="N843" s="9"/>
      <c r="O843" s="9"/>
      <c r="P843" s="9"/>
      <c r="Q843" s="9"/>
      <c r="R843" s="9"/>
      <c r="S843" s="9"/>
      <c r="T843" s="9"/>
      <c r="U843" s="9"/>
      <c r="V843" s="9"/>
      <c r="W843" s="9"/>
      <c r="X843" s="9"/>
      <c r="Y843" s="9"/>
      <c r="Z843" s="9"/>
    </row>
    <row r="844" ht="15.75" customHeight="1">
      <c r="A844" s="32"/>
      <c r="B844" s="9"/>
      <c r="C844" s="110"/>
      <c r="D844" s="134"/>
      <c r="E844" s="135"/>
      <c r="F844" s="9"/>
      <c r="G844" s="9"/>
      <c r="H844" s="9"/>
      <c r="I844" s="9"/>
      <c r="J844" s="9"/>
      <c r="K844" s="9"/>
      <c r="L844" s="9"/>
      <c r="M844" s="9"/>
      <c r="N844" s="9"/>
      <c r="O844" s="9"/>
      <c r="P844" s="9"/>
      <c r="Q844" s="9"/>
      <c r="R844" s="9"/>
      <c r="S844" s="9"/>
      <c r="T844" s="9"/>
      <c r="U844" s="9"/>
      <c r="V844" s="9"/>
      <c r="W844" s="9"/>
      <c r="X844" s="9"/>
      <c r="Y844" s="9"/>
      <c r="Z844" s="9"/>
    </row>
    <row r="845" ht="15.75" customHeight="1">
      <c r="A845" s="32"/>
      <c r="B845" s="9"/>
      <c r="C845" s="110"/>
      <c r="D845" s="134"/>
      <c r="E845" s="135"/>
      <c r="F845" s="9"/>
      <c r="G845" s="9"/>
      <c r="H845" s="9"/>
      <c r="I845" s="9"/>
      <c r="J845" s="9"/>
      <c r="K845" s="9"/>
      <c r="L845" s="9"/>
      <c r="M845" s="9"/>
      <c r="N845" s="9"/>
      <c r="O845" s="9"/>
      <c r="P845" s="9"/>
      <c r="Q845" s="9"/>
      <c r="R845" s="9"/>
      <c r="S845" s="9"/>
      <c r="T845" s="9"/>
      <c r="U845" s="9"/>
      <c r="V845" s="9"/>
      <c r="W845" s="9"/>
      <c r="X845" s="9"/>
      <c r="Y845" s="9"/>
      <c r="Z845" s="9"/>
    </row>
    <row r="846" ht="15.75" customHeight="1">
      <c r="A846" s="32"/>
      <c r="B846" s="9"/>
      <c r="C846" s="110"/>
      <c r="D846" s="134"/>
      <c r="E846" s="135"/>
      <c r="F846" s="9"/>
      <c r="G846" s="9"/>
      <c r="H846" s="9"/>
      <c r="I846" s="9"/>
      <c r="J846" s="9"/>
      <c r="K846" s="9"/>
      <c r="L846" s="9"/>
      <c r="M846" s="9"/>
      <c r="N846" s="9"/>
      <c r="O846" s="9"/>
      <c r="P846" s="9"/>
      <c r="Q846" s="9"/>
      <c r="R846" s="9"/>
      <c r="S846" s="9"/>
      <c r="T846" s="9"/>
      <c r="U846" s="9"/>
      <c r="V846" s="9"/>
      <c r="W846" s="9"/>
      <c r="X846" s="9"/>
      <c r="Y846" s="9"/>
      <c r="Z846" s="9"/>
    </row>
    <row r="847" ht="15.75" customHeight="1">
      <c r="A847" s="32"/>
      <c r="B847" s="9"/>
      <c r="C847" s="110"/>
      <c r="D847" s="134"/>
      <c r="E847" s="135"/>
      <c r="F847" s="9"/>
      <c r="G847" s="9"/>
      <c r="H847" s="9"/>
      <c r="I847" s="9"/>
      <c r="J847" s="9"/>
      <c r="K847" s="9"/>
      <c r="L847" s="9"/>
      <c r="M847" s="9"/>
      <c r="N847" s="9"/>
      <c r="O847" s="9"/>
      <c r="P847" s="9"/>
      <c r="Q847" s="9"/>
      <c r="R847" s="9"/>
      <c r="S847" s="9"/>
      <c r="T847" s="9"/>
      <c r="U847" s="9"/>
      <c r="V847" s="9"/>
      <c r="W847" s="9"/>
      <c r="X847" s="9"/>
      <c r="Y847" s="9"/>
      <c r="Z847" s="9"/>
    </row>
    <row r="848" ht="15.75" customHeight="1">
      <c r="A848" s="32"/>
      <c r="B848" s="9"/>
      <c r="C848" s="110"/>
      <c r="D848" s="134"/>
      <c r="E848" s="135"/>
      <c r="F848" s="9"/>
      <c r="G848" s="9"/>
      <c r="H848" s="9"/>
      <c r="I848" s="9"/>
      <c r="J848" s="9"/>
      <c r="K848" s="9"/>
      <c r="L848" s="9"/>
      <c r="M848" s="9"/>
      <c r="N848" s="9"/>
      <c r="O848" s="9"/>
      <c r="P848" s="9"/>
      <c r="Q848" s="9"/>
      <c r="R848" s="9"/>
      <c r="S848" s="9"/>
      <c r="T848" s="9"/>
      <c r="U848" s="9"/>
      <c r="V848" s="9"/>
      <c r="W848" s="9"/>
      <c r="X848" s="9"/>
      <c r="Y848" s="9"/>
      <c r="Z848" s="9"/>
    </row>
    <row r="849" ht="15.75" customHeight="1">
      <c r="A849" s="32"/>
      <c r="B849" s="9"/>
      <c r="C849" s="110"/>
      <c r="D849" s="134"/>
      <c r="E849" s="135"/>
      <c r="F849" s="9"/>
      <c r="G849" s="9"/>
      <c r="H849" s="9"/>
      <c r="I849" s="9"/>
      <c r="J849" s="9"/>
      <c r="K849" s="9"/>
      <c r="L849" s="9"/>
      <c r="M849" s="9"/>
      <c r="N849" s="9"/>
      <c r="O849" s="9"/>
      <c r="P849" s="9"/>
      <c r="Q849" s="9"/>
      <c r="R849" s="9"/>
      <c r="S849" s="9"/>
      <c r="T849" s="9"/>
      <c r="U849" s="9"/>
      <c r="V849" s="9"/>
      <c r="W849" s="9"/>
      <c r="X849" s="9"/>
      <c r="Y849" s="9"/>
      <c r="Z849" s="9"/>
    </row>
    <row r="850" ht="15.75" customHeight="1">
      <c r="A850" s="32"/>
      <c r="B850" s="9"/>
      <c r="C850" s="110"/>
      <c r="D850" s="134"/>
      <c r="E850" s="135"/>
      <c r="F850" s="9"/>
      <c r="G850" s="9"/>
      <c r="H850" s="9"/>
      <c r="I850" s="9"/>
      <c r="J850" s="9"/>
      <c r="K850" s="9"/>
      <c r="L850" s="9"/>
      <c r="M850" s="9"/>
      <c r="N850" s="9"/>
      <c r="O850" s="9"/>
      <c r="P850" s="9"/>
      <c r="Q850" s="9"/>
      <c r="R850" s="9"/>
      <c r="S850" s="9"/>
      <c r="T850" s="9"/>
      <c r="U850" s="9"/>
      <c r="V850" s="9"/>
      <c r="W850" s="9"/>
      <c r="X850" s="9"/>
      <c r="Y850" s="9"/>
      <c r="Z850" s="9"/>
    </row>
    <row r="851" ht="15.75" customHeight="1">
      <c r="A851" s="32"/>
      <c r="B851" s="9"/>
      <c r="C851" s="110"/>
      <c r="D851" s="134"/>
      <c r="E851" s="135"/>
      <c r="F851" s="9"/>
      <c r="G851" s="9"/>
      <c r="H851" s="9"/>
      <c r="I851" s="9"/>
      <c r="J851" s="9"/>
      <c r="K851" s="9"/>
      <c r="L851" s="9"/>
      <c r="M851" s="9"/>
      <c r="N851" s="9"/>
      <c r="O851" s="9"/>
      <c r="P851" s="9"/>
      <c r="Q851" s="9"/>
      <c r="R851" s="9"/>
      <c r="S851" s="9"/>
      <c r="T851" s="9"/>
      <c r="U851" s="9"/>
      <c r="V851" s="9"/>
      <c r="W851" s="9"/>
      <c r="X851" s="9"/>
      <c r="Y851" s="9"/>
      <c r="Z851" s="9"/>
    </row>
    <row r="852" ht="15.75" customHeight="1">
      <c r="A852" s="32"/>
      <c r="B852" s="9"/>
      <c r="C852" s="110"/>
      <c r="D852" s="134"/>
      <c r="E852" s="135"/>
      <c r="F852" s="9"/>
      <c r="G852" s="9"/>
      <c r="H852" s="9"/>
      <c r="I852" s="9"/>
      <c r="J852" s="9"/>
      <c r="K852" s="9"/>
      <c r="L852" s="9"/>
      <c r="M852" s="9"/>
      <c r="N852" s="9"/>
      <c r="O852" s="9"/>
      <c r="P852" s="9"/>
      <c r="Q852" s="9"/>
      <c r="R852" s="9"/>
      <c r="S852" s="9"/>
      <c r="T852" s="9"/>
      <c r="U852" s="9"/>
      <c r="V852" s="9"/>
      <c r="W852" s="9"/>
      <c r="X852" s="9"/>
      <c r="Y852" s="9"/>
      <c r="Z852" s="9"/>
    </row>
    <row r="853" ht="15.75" customHeight="1">
      <c r="A853" s="32"/>
      <c r="B853" s="9"/>
      <c r="C853" s="110"/>
      <c r="D853" s="134"/>
      <c r="E853" s="135"/>
      <c r="F853" s="9"/>
      <c r="G853" s="9"/>
      <c r="H853" s="9"/>
      <c r="I853" s="9"/>
      <c r="J853" s="9"/>
      <c r="K853" s="9"/>
      <c r="L853" s="9"/>
      <c r="M853" s="9"/>
      <c r="N853" s="9"/>
      <c r="O853" s="9"/>
      <c r="P853" s="9"/>
      <c r="Q853" s="9"/>
      <c r="R853" s="9"/>
      <c r="S853" s="9"/>
      <c r="T853" s="9"/>
      <c r="U853" s="9"/>
      <c r="V853" s="9"/>
      <c r="W853" s="9"/>
      <c r="X853" s="9"/>
      <c r="Y853" s="9"/>
      <c r="Z853" s="9"/>
    </row>
    <row r="854" ht="15.75" customHeight="1">
      <c r="A854" s="32"/>
      <c r="B854" s="9"/>
      <c r="C854" s="110"/>
      <c r="D854" s="134"/>
      <c r="E854" s="135"/>
      <c r="F854" s="9"/>
      <c r="G854" s="9"/>
      <c r="H854" s="9"/>
      <c r="I854" s="9"/>
      <c r="J854" s="9"/>
      <c r="K854" s="9"/>
      <c r="L854" s="9"/>
      <c r="M854" s="9"/>
      <c r="N854" s="9"/>
      <c r="O854" s="9"/>
      <c r="P854" s="9"/>
      <c r="Q854" s="9"/>
      <c r="R854" s="9"/>
      <c r="S854" s="9"/>
      <c r="T854" s="9"/>
      <c r="U854" s="9"/>
      <c r="V854" s="9"/>
      <c r="W854" s="9"/>
      <c r="X854" s="9"/>
      <c r="Y854" s="9"/>
      <c r="Z854" s="9"/>
    </row>
    <row r="855" ht="15.75" customHeight="1">
      <c r="A855" s="32"/>
      <c r="B855" s="9"/>
      <c r="C855" s="110"/>
      <c r="D855" s="134"/>
      <c r="E855" s="135"/>
      <c r="F855" s="9"/>
      <c r="G855" s="9"/>
      <c r="H855" s="9"/>
      <c r="I855" s="9"/>
      <c r="J855" s="9"/>
      <c r="K855" s="9"/>
      <c r="L855" s="9"/>
      <c r="M855" s="9"/>
      <c r="N855" s="9"/>
      <c r="O855" s="9"/>
      <c r="P855" s="9"/>
      <c r="Q855" s="9"/>
      <c r="R855" s="9"/>
      <c r="S855" s="9"/>
      <c r="T855" s="9"/>
      <c r="U855" s="9"/>
      <c r="V855" s="9"/>
      <c r="W855" s="9"/>
      <c r="X855" s="9"/>
      <c r="Y855" s="9"/>
      <c r="Z855" s="9"/>
    </row>
    <row r="856" ht="15.75" customHeight="1">
      <c r="A856" s="32"/>
      <c r="B856" s="9"/>
      <c r="C856" s="110"/>
      <c r="D856" s="134"/>
      <c r="E856" s="135"/>
      <c r="F856" s="9"/>
      <c r="G856" s="9"/>
      <c r="H856" s="9"/>
      <c r="I856" s="9"/>
      <c r="J856" s="9"/>
      <c r="K856" s="9"/>
      <c r="L856" s="9"/>
      <c r="M856" s="9"/>
      <c r="N856" s="9"/>
      <c r="O856" s="9"/>
      <c r="P856" s="9"/>
      <c r="Q856" s="9"/>
      <c r="R856" s="9"/>
      <c r="S856" s="9"/>
      <c r="T856" s="9"/>
      <c r="U856" s="9"/>
      <c r="V856" s="9"/>
      <c r="W856" s="9"/>
      <c r="X856" s="9"/>
      <c r="Y856" s="9"/>
      <c r="Z856" s="9"/>
    </row>
    <row r="857" ht="15.75" customHeight="1">
      <c r="A857" s="32"/>
      <c r="B857" s="9"/>
      <c r="C857" s="110"/>
      <c r="D857" s="134"/>
      <c r="E857" s="135"/>
      <c r="F857" s="9"/>
      <c r="G857" s="9"/>
      <c r="H857" s="9"/>
      <c r="I857" s="9"/>
      <c r="J857" s="9"/>
      <c r="K857" s="9"/>
      <c r="L857" s="9"/>
      <c r="M857" s="9"/>
      <c r="N857" s="9"/>
      <c r="O857" s="9"/>
      <c r="P857" s="9"/>
      <c r="Q857" s="9"/>
      <c r="R857" s="9"/>
      <c r="S857" s="9"/>
      <c r="T857" s="9"/>
      <c r="U857" s="9"/>
      <c r="V857" s="9"/>
      <c r="W857" s="9"/>
      <c r="X857" s="9"/>
      <c r="Y857" s="9"/>
      <c r="Z857" s="9"/>
    </row>
    <row r="858" ht="15.75" customHeight="1">
      <c r="A858" s="32"/>
      <c r="B858" s="9"/>
      <c r="C858" s="110"/>
      <c r="D858" s="134"/>
      <c r="E858" s="135"/>
      <c r="F858" s="9"/>
      <c r="G858" s="9"/>
      <c r="H858" s="9"/>
      <c r="I858" s="9"/>
      <c r="J858" s="9"/>
      <c r="K858" s="9"/>
      <c r="L858" s="9"/>
      <c r="M858" s="9"/>
      <c r="N858" s="9"/>
      <c r="O858" s="9"/>
      <c r="P858" s="9"/>
      <c r="Q858" s="9"/>
      <c r="R858" s="9"/>
      <c r="S858" s="9"/>
      <c r="T858" s="9"/>
      <c r="U858" s="9"/>
      <c r="V858" s="9"/>
      <c r="W858" s="9"/>
      <c r="X858" s="9"/>
      <c r="Y858" s="9"/>
      <c r="Z858" s="9"/>
    </row>
    <row r="859" ht="15.75" customHeight="1">
      <c r="A859" s="32"/>
      <c r="B859" s="9"/>
      <c r="C859" s="110"/>
      <c r="D859" s="134"/>
      <c r="E859" s="135"/>
      <c r="F859" s="9"/>
      <c r="G859" s="9"/>
      <c r="H859" s="9"/>
      <c r="I859" s="9"/>
      <c r="J859" s="9"/>
      <c r="K859" s="9"/>
      <c r="L859" s="9"/>
      <c r="M859" s="9"/>
      <c r="N859" s="9"/>
      <c r="O859" s="9"/>
      <c r="P859" s="9"/>
      <c r="Q859" s="9"/>
      <c r="R859" s="9"/>
      <c r="S859" s="9"/>
      <c r="T859" s="9"/>
      <c r="U859" s="9"/>
      <c r="V859" s="9"/>
      <c r="W859" s="9"/>
      <c r="X859" s="9"/>
      <c r="Y859" s="9"/>
      <c r="Z859" s="9"/>
    </row>
    <row r="860" ht="15.75" customHeight="1">
      <c r="A860" s="32"/>
      <c r="B860" s="9"/>
      <c r="C860" s="110"/>
      <c r="D860" s="134"/>
      <c r="E860" s="135"/>
      <c r="F860" s="9"/>
      <c r="G860" s="9"/>
      <c r="H860" s="9"/>
      <c r="I860" s="9"/>
      <c r="J860" s="9"/>
      <c r="K860" s="9"/>
      <c r="L860" s="9"/>
      <c r="M860" s="9"/>
      <c r="N860" s="9"/>
      <c r="O860" s="9"/>
      <c r="P860" s="9"/>
      <c r="Q860" s="9"/>
      <c r="R860" s="9"/>
      <c r="S860" s="9"/>
      <c r="T860" s="9"/>
      <c r="U860" s="9"/>
      <c r="V860" s="9"/>
      <c r="W860" s="9"/>
      <c r="X860" s="9"/>
      <c r="Y860" s="9"/>
      <c r="Z860" s="9"/>
    </row>
    <row r="861" ht="15.75" customHeight="1">
      <c r="A861" s="32"/>
      <c r="B861" s="9"/>
      <c r="C861" s="110"/>
      <c r="D861" s="134"/>
      <c r="E861" s="135"/>
      <c r="F861" s="9"/>
      <c r="G861" s="9"/>
      <c r="H861" s="9"/>
      <c r="I861" s="9"/>
      <c r="J861" s="9"/>
      <c r="K861" s="9"/>
      <c r="L861" s="9"/>
      <c r="M861" s="9"/>
      <c r="N861" s="9"/>
      <c r="O861" s="9"/>
      <c r="P861" s="9"/>
      <c r="Q861" s="9"/>
      <c r="R861" s="9"/>
      <c r="S861" s="9"/>
      <c r="T861" s="9"/>
      <c r="U861" s="9"/>
      <c r="V861" s="9"/>
      <c r="W861" s="9"/>
      <c r="X861" s="9"/>
      <c r="Y861" s="9"/>
      <c r="Z861" s="9"/>
    </row>
    <row r="862" ht="15.75" customHeight="1">
      <c r="A862" s="32"/>
      <c r="B862" s="9"/>
      <c r="C862" s="110"/>
      <c r="D862" s="134"/>
      <c r="E862" s="135"/>
      <c r="F862" s="9"/>
      <c r="G862" s="9"/>
      <c r="H862" s="9"/>
      <c r="I862" s="9"/>
      <c r="J862" s="9"/>
      <c r="K862" s="9"/>
      <c r="L862" s="9"/>
      <c r="M862" s="9"/>
      <c r="N862" s="9"/>
      <c r="O862" s="9"/>
      <c r="P862" s="9"/>
      <c r="Q862" s="9"/>
      <c r="R862" s="9"/>
      <c r="S862" s="9"/>
      <c r="T862" s="9"/>
      <c r="U862" s="9"/>
      <c r="V862" s="9"/>
      <c r="W862" s="9"/>
      <c r="X862" s="9"/>
      <c r="Y862" s="9"/>
      <c r="Z862" s="9"/>
    </row>
    <row r="863" ht="15.75" customHeight="1">
      <c r="A863" s="32"/>
      <c r="B863" s="9"/>
      <c r="C863" s="110"/>
      <c r="D863" s="134"/>
      <c r="E863" s="135"/>
      <c r="F863" s="9"/>
      <c r="G863" s="9"/>
      <c r="H863" s="9"/>
      <c r="I863" s="9"/>
      <c r="J863" s="9"/>
      <c r="K863" s="9"/>
      <c r="L863" s="9"/>
      <c r="M863" s="9"/>
      <c r="N863" s="9"/>
      <c r="O863" s="9"/>
      <c r="P863" s="9"/>
      <c r="Q863" s="9"/>
      <c r="R863" s="9"/>
      <c r="S863" s="9"/>
      <c r="T863" s="9"/>
      <c r="U863" s="9"/>
      <c r="V863" s="9"/>
      <c r="W863" s="9"/>
      <c r="X863" s="9"/>
      <c r="Y863" s="9"/>
      <c r="Z863" s="9"/>
    </row>
    <row r="864" ht="15.75" customHeight="1">
      <c r="A864" s="32"/>
      <c r="B864" s="9"/>
      <c r="C864" s="110"/>
      <c r="D864" s="134"/>
      <c r="E864" s="135"/>
      <c r="F864" s="9"/>
      <c r="G864" s="9"/>
      <c r="H864" s="9"/>
      <c r="I864" s="9"/>
      <c r="J864" s="9"/>
      <c r="K864" s="9"/>
      <c r="L864" s="9"/>
      <c r="M864" s="9"/>
      <c r="N864" s="9"/>
      <c r="O864" s="9"/>
      <c r="P864" s="9"/>
      <c r="Q864" s="9"/>
      <c r="R864" s="9"/>
      <c r="S864" s="9"/>
      <c r="T864" s="9"/>
      <c r="U864" s="9"/>
      <c r="V864" s="9"/>
      <c r="W864" s="9"/>
      <c r="X864" s="9"/>
      <c r="Y864" s="9"/>
      <c r="Z864" s="9"/>
    </row>
    <row r="865" ht="15.75" customHeight="1">
      <c r="A865" s="32"/>
      <c r="B865" s="9"/>
      <c r="C865" s="110"/>
      <c r="D865" s="134"/>
      <c r="E865" s="135"/>
      <c r="F865" s="9"/>
      <c r="G865" s="9"/>
      <c r="H865" s="9"/>
      <c r="I865" s="9"/>
      <c r="J865" s="9"/>
      <c r="K865" s="9"/>
      <c r="L865" s="9"/>
      <c r="M865" s="9"/>
      <c r="N865" s="9"/>
      <c r="O865" s="9"/>
      <c r="P865" s="9"/>
      <c r="Q865" s="9"/>
      <c r="R865" s="9"/>
      <c r="S865" s="9"/>
      <c r="T865" s="9"/>
      <c r="U865" s="9"/>
      <c r="V865" s="9"/>
      <c r="W865" s="9"/>
      <c r="X865" s="9"/>
      <c r="Y865" s="9"/>
      <c r="Z865" s="9"/>
    </row>
    <row r="866" ht="15.75" customHeight="1">
      <c r="A866" s="32"/>
      <c r="B866" s="9"/>
      <c r="C866" s="110"/>
      <c r="D866" s="134"/>
      <c r="E866" s="135"/>
      <c r="F866" s="9"/>
      <c r="G866" s="9"/>
      <c r="H866" s="9"/>
      <c r="I866" s="9"/>
      <c r="J866" s="9"/>
      <c r="K866" s="9"/>
      <c r="L866" s="9"/>
      <c r="M866" s="9"/>
      <c r="N866" s="9"/>
      <c r="O866" s="9"/>
      <c r="P866" s="9"/>
      <c r="Q866" s="9"/>
      <c r="R866" s="9"/>
      <c r="S866" s="9"/>
      <c r="T866" s="9"/>
      <c r="U866" s="9"/>
      <c r="V866" s="9"/>
      <c r="W866" s="9"/>
      <c r="X866" s="9"/>
      <c r="Y866" s="9"/>
      <c r="Z866" s="9"/>
    </row>
    <row r="867" ht="15.75" customHeight="1">
      <c r="A867" s="32"/>
      <c r="B867" s="9"/>
      <c r="C867" s="110"/>
      <c r="D867" s="134"/>
      <c r="E867" s="135"/>
      <c r="F867" s="9"/>
      <c r="G867" s="9"/>
      <c r="H867" s="9"/>
      <c r="I867" s="9"/>
      <c r="J867" s="9"/>
      <c r="K867" s="9"/>
      <c r="L867" s="9"/>
      <c r="M867" s="9"/>
      <c r="N867" s="9"/>
      <c r="O867" s="9"/>
      <c r="P867" s="9"/>
      <c r="Q867" s="9"/>
      <c r="R867" s="9"/>
      <c r="S867" s="9"/>
      <c r="T867" s="9"/>
      <c r="U867" s="9"/>
      <c r="V867" s="9"/>
      <c r="W867" s="9"/>
      <c r="X867" s="9"/>
      <c r="Y867" s="9"/>
      <c r="Z867" s="9"/>
    </row>
    <row r="868" ht="15.75" customHeight="1">
      <c r="A868" s="32"/>
      <c r="B868" s="9"/>
      <c r="C868" s="110"/>
      <c r="D868" s="134"/>
      <c r="E868" s="135"/>
      <c r="F868" s="9"/>
      <c r="G868" s="9"/>
      <c r="H868" s="9"/>
      <c r="I868" s="9"/>
      <c r="J868" s="9"/>
      <c r="K868" s="9"/>
      <c r="L868" s="9"/>
      <c r="M868" s="9"/>
      <c r="N868" s="9"/>
      <c r="O868" s="9"/>
      <c r="P868" s="9"/>
      <c r="Q868" s="9"/>
      <c r="R868" s="9"/>
      <c r="S868" s="9"/>
      <c r="T868" s="9"/>
      <c r="U868" s="9"/>
      <c r="V868" s="9"/>
      <c r="W868" s="9"/>
      <c r="X868" s="9"/>
      <c r="Y868" s="9"/>
      <c r="Z868" s="9"/>
    </row>
    <row r="869" ht="15.75" customHeight="1">
      <c r="A869" s="32"/>
      <c r="B869" s="9"/>
      <c r="C869" s="110"/>
      <c r="D869" s="134"/>
      <c r="E869" s="135"/>
      <c r="F869" s="9"/>
      <c r="G869" s="9"/>
      <c r="H869" s="9"/>
      <c r="I869" s="9"/>
      <c r="J869" s="9"/>
      <c r="K869" s="9"/>
      <c r="L869" s="9"/>
      <c r="M869" s="9"/>
      <c r="N869" s="9"/>
      <c r="O869" s="9"/>
      <c r="P869" s="9"/>
      <c r="Q869" s="9"/>
      <c r="R869" s="9"/>
      <c r="S869" s="9"/>
      <c r="T869" s="9"/>
      <c r="U869" s="9"/>
      <c r="V869" s="9"/>
      <c r="W869" s="9"/>
      <c r="X869" s="9"/>
      <c r="Y869" s="9"/>
      <c r="Z869" s="9"/>
    </row>
    <row r="870" ht="15.75" customHeight="1">
      <c r="A870" s="32"/>
      <c r="B870" s="9"/>
      <c r="C870" s="110"/>
      <c r="D870" s="134"/>
      <c r="E870" s="135"/>
      <c r="F870" s="9"/>
      <c r="G870" s="9"/>
      <c r="H870" s="9"/>
      <c r="I870" s="9"/>
      <c r="J870" s="9"/>
      <c r="K870" s="9"/>
      <c r="L870" s="9"/>
      <c r="M870" s="9"/>
      <c r="N870" s="9"/>
      <c r="O870" s="9"/>
      <c r="P870" s="9"/>
      <c r="Q870" s="9"/>
      <c r="R870" s="9"/>
      <c r="S870" s="9"/>
      <c r="T870" s="9"/>
      <c r="U870" s="9"/>
      <c r="V870" s="9"/>
      <c r="W870" s="9"/>
      <c r="X870" s="9"/>
      <c r="Y870" s="9"/>
      <c r="Z870" s="9"/>
    </row>
    <row r="871" ht="15.75" customHeight="1">
      <c r="A871" s="32"/>
      <c r="B871" s="9"/>
      <c r="C871" s="110"/>
      <c r="D871" s="134"/>
      <c r="E871" s="135"/>
      <c r="F871" s="9"/>
      <c r="G871" s="9"/>
      <c r="H871" s="9"/>
      <c r="I871" s="9"/>
      <c r="J871" s="9"/>
      <c r="K871" s="9"/>
      <c r="L871" s="9"/>
      <c r="M871" s="9"/>
      <c r="N871" s="9"/>
      <c r="O871" s="9"/>
      <c r="P871" s="9"/>
      <c r="Q871" s="9"/>
      <c r="R871" s="9"/>
      <c r="S871" s="9"/>
      <c r="T871" s="9"/>
      <c r="U871" s="9"/>
      <c r="V871" s="9"/>
      <c r="W871" s="9"/>
      <c r="X871" s="9"/>
      <c r="Y871" s="9"/>
      <c r="Z871" s="9"/>
    </row>
    <row r="872" ht="15.75" customHeight="1">
      <c r="A872" s="32"/>
      <c r="B872" s="9"/>
      <c r="C872" s="110"/>
      <c r="D872" s="134"/>
      <c r="E872" s="135"/>
      <c r="F872" s="9"/>
      <c r="G872" s="9"/>
      <c r="H872" s="9"/>
      <c r="I872" s="9"/>
      <c r="J872" s="9"/>
      <c r="K872" s="9"/>
      <c r="L872" s="9"/>
      <c r="M872" s="9"/>
      <c r="N872" s="9"/>
      <c r="O872" s="9"/>
      <c r="P872" s="9"/>
      <c r="Q872" s="9"/>
      <c r="R872" s="9"/>
      <c r="S872" s="9"/>
      <c r="T872" s="9"/>
      <c r="U872" s="9"/>
      <c r="V872" s="9"/>
      <c r="W872" s="9"/>
      <c r="X872" s="9"/>
      <c r="Y872" s="9"/>
      <c r="Z872" s="9"/>
    </row>
    <row r="873" ht="15.75" customHeight="1">
      <c r="A873" s="32"/>
      <c r="B873" s="9"/>
      <c r="C873" s="110"/>
      <c r="D873" s="134"/>
      <c r="E873" s="135"/>
      <c r="F873" s="9"/>
      <c r="G873" s="9"/>
      <c r="H873" s="9"/>
      <c r="I873" s="9"/>
      <c r="J873" s="9"/>
      <c r="K873" s="9"/>
      <c r="L873" s="9"/>
      <c r="M873" s="9"/>
      <c r="N873" s="9"/>
      <c r="O873" s="9"/>
      <c r="P873" s="9"/>
      <c r="Q873" s="9"/>
      <c r="R873" s="9"/>
      <c r="S873" s="9"/>
      <c r="T873" s="9"/>
      <c r="U873" s="9"/>
      <c r="V873" s="9"/>
      <c r="W873" s="9"/>
      <c r="X873" s="9"/>
      <c r="Y873" s="9"/>
      <c r="Z873" s="9"/>
    </row>
    <row r="874" ht="15.75" customHeight="1">
      <c r="A874" s="32"/>
      <c r="B874" s="9"/>
      <c r="C874" s="110"/>
      <c r="D874" s="134"/>
      <c r="E874" s="135"/>
      <c r="F874" s="9"/>
      <c r="G874" s="9"/>
      <c r="H874" s="9"/>
      <c r="I874" s="9"/>
      <c r="J874" s="9"/>
      <c r="K874" s="9"/>
      <c r="L874" s="9"/>
      <c r="M874" s="9"/>
      <c r="N874" s="9"/>
      <c r="O874" s="9"/>
      <c r="P874" s="9"/>
      <c r="Q874" s="9"/>
      <c r="R874" s="9"/>
      <c r="S874" s="9"/>
      <c r="T874" s="9"/>
      <c r="U874" s="9"/>
      <c r="V874" s="9"/>
      <c r="W874" s="9"/>
      <c r="X874" s="9"/>
      <c r="Y874" s="9"/>
      <c r="Z874" s="9"/>
    </row>
    <row r="875" ht="15.75" customHeight="1">
      <c r="A875" s="32"/>
      <c r="B875" s="9"/>
      <c r="C875" s="110"/>
      <c r="D875" s="134"/>
      <c r="E875" s="135"/>
      <c r="F875" s="9"/>
      <c r="G875" s="9"/>
      <c r="H875" s="9"/>
      <c r="I875" s="9"/>
      <c r="J875" s="9"/>
      <c r="K875" s="9"/>
      <c r="L875" s="9"/>
      <c r="M875" s="9"/>
      <c r="N875" s="9"/>
      <c r="O875" s="9"/>
      <c r="P875" s="9"/>
      <c r="Q875" s="9"/>
      <c r="R875" s="9"/>
      <c r="S875" s="9"/>
      <c r="T875" s="9"/>
      <c r="U875" s="9"/>
      <c r="V875" s="9"/>
      <c r="W875" s="9"/>
      <c r="X875" s="9"/>
      <c r="Y875" s="9"/>
      <c r="Z875" s="9"/>
    </row>
    <row r="876" ht="15.75" customHeight="1">
      <c r="A876" s="32"/>
      <c r="B876" s="9"/>
      <c r="C876" s="110"/>
      <c r="D876" s="134"/>
      <c r="E876" s="135"/>
      <c r="F876" s="9"/>
      <c r="G876" s="9"/>
      <c r="H876" s="9"/>
      <c r="I876" s="9"/>
      <c r="J876" s="9"/>
      <c r="K876" s="9"/>
      <c r="L876" s="9"/>
      <c r="M876" s="9"/>
      <c r="N876" s="9"/>
      <c r="O876" s="9"/>
      <c r="P876" s="9"/>
      <c r="Q876" s="9"/>
      <c r="R876" s="9"/>
      <c r="S876" s="9"/>
      <c r="T876" s="9"/>
      <c r="U876" s="9"/>
      <c r="V876" s="9"/>
      <c r="W876" s="9"/>
      <c r="X876" s="9"/>
      <c r="Y876" s="9"/>
      <c r="Z876" s="9"/>
    </row>
    <row r="877" ht="15.75" customHeight="1">
      <c r="A877" s="32"/>
      <c r="B877" s="9"/>
      <c r="C877" s="110"/>
      <c r="D877" s="134"/>
      <c r="E877" s="135"/>
      <c r="F877" s="9"/>
      <c r="G877" s="9"/>
      <c r="H877" s="9"/>
      <c r="I877" s="9"/>
      <c r="J877" s="9"/>
      <c r="K877" s="9"/>
      <c r="L877" s="9"/>
      <c r="M877" s="9"/>
      <c r="N877" s="9"/>
      <c r="O877" s="9"/>
      <c r="P877" s="9"/>
      <c r="Q877" s="9"/>
      <c r="R877" s="9"/>
      <c r="S877" s="9"/>
      <c r="T877" s="9"/>
      <c r="U877" s="9"/>
      <c r="V877" s="9"/>
      <c r="W877" s="9"/>
      <c r="X877" s="9"/>
      <c r="Y877" s="9"/>
      <c r="Z877" s="9"/>
    </row>
    <row r="878" ht="15.75" customHeight="1">
      <c r="A878" s="32"/>
      <c r="B878" s="9"/>
      <c r="C878" s="110"/>
      <c r="D878" s="134"/>
      <c r="E878" s="135"/>
      <c r="F878" s="9"/>
      <c r="G878" s="9"/>
      <c r="H878" s="9"/>
      <c r="I878" s="9"/>
      <c r="J878" s="9"/>
      <c r="K878" s="9"/>
      <c r="L878" s="9"/>
      <c r="M878" s="9"/>
      <c r="N878" s="9"/>
      <c r="O878" s="9"/>
      <c r="P878" s="9"/>
      <c r="Q878" s="9"/>
      <c r="R878" s="9"/>
      <c r="S878" s="9"/>
      <c r="T878" s="9"/>
      <c r="U878" s="9"/>
      <c r="V878" s="9"/>
      <c r="W878" s="9"/>
      <c r="X878" s="9"/>
      <c r="Y878" s="9"/>
      <c r="Z878" s="9"/>
    </row>
    <row r="879" ht="15.75" customHeight="1">
      <c r="A879" s="32"/>
      <c r="B879" s="9"/>
      <c r="C879" s="110"/>
      <c r="D879" s="134"/>
      <c r="E879" s="135"/>
      <c r="F879" s="9"/>
      <c r="G879" s="9"/>
      <c r="H879" s="9"/>
      <c r="I879" s="9"/>
      <c r="J879" s="9"/>
      <c r="K879" s="9"/>
      <c r="L879" s="9"/>
      <c r="M879" s="9"/>
      <c r="N879" s="9"/>
      <c r="O879" s="9"/>
      <c r="P879" s="9"/>
      <c r="Q879" s="9"/>
      <c r="R879" s="9"/>
      <c r="S879" s="9"/>
      <c r="T879" s="9"/>
      <c r="U879" s="9"/>
      <c r="V879" s="9"/>
      <c r="W879" s="9"/>
      <c r="X879" s="9"/>
      <c r="Y879" s="9"/>
      <c r="Z879" s="9"/>
    </row>
    <row r="880" ht="15.75" customHeight="1">
      <c r="A880" s="32"/>
      <c r="B880" s="9"/>
      <c r="C880" s="110"/>
      <c r="D880" s="134"/>
      <c r="E880" s="135"/>
      <c r="F880" s="9"/>
      <c r="G880" s="9"/>
      <c r="H880" s="9"/>
      <c r="I880" s="9"/>
      <c r="J880" s="9"/>
      <c r="K880" s="9"/>
      <c r="L880" s="9"/>
      <c r="M880" s="9"/>
      <c r="N880" s="9"/>
      <c r="O880" s="9"/>
      <c r="P880" s="9"/>
      <c r="Q880" s="9"/>
      <c r="R880" s="9"/>
      <c r="S880" s="9"/>
      <c r="T880" s="9"/>
      <c r="U880" s="9"/>
      <c r="V880" s="9"/>
      <c r="W880" s="9"/>
      <c r="X880" s="9"/>
      <c r="Y880" s="9"/>
      <c r="Z880" s="9"/>
    </row>
    <row r="881" ht="15.75" customHeight="1">
      <c r="A881" s="32"/>
      <c r="B881" s="9"/>
      <c r="C881" s="110"/>
      <c r="D881" s="134"/>
      <c r="E881" s="135"/>
      <c r="F881" s="9"/>
      <c r="G881" s="9"/>
      <c r="H881" s="9"/>
      <c r="I881" s="9"/>
      <c r="J881" s="9"/>
      <c r="K881" s="9"/>
      <c r="L881" s="9"/>
      <c r="M881" s="9"/>
      <c r="N881" s="9"/>
      <c r="O881" s="9"/>
      <c r="P881" s="9"/>
      <c r="Q881" s="9"/>
      <c r="R881" s="9"/>
      <c r="S881" s="9"/>
      <c r="T881" s="9"/>
      <c r="U881" s="9"/>
      <c r="V881" s="9"/>
      <c r="W881" s="9"/>
      <c r="X881" s="9"/>
      <c r="Y881" s="9"/>
      <c r="Z881" s="9"/>
    </row>
    <row r="882" ht="15.75" customHeight="1">
      <c r="A882" s="32"/>
      <c r="B882" s="9"/>
      <c r="C882" s="110"/>
      <c r="D882" s="134"/>
      <c r="E882" s="135"/>
      <c r="F882" s="9"/>
      <c r="G882" s="9"/>
      <c r="H882" s="9"/>
      <c r="I882" s="9"/>
      <c r="J882" s="9"/>
      <c r="K882" s="9"/>
      <c r="L882" s="9"/>
      <c r="M882" s="9"/>
      <c r="N882" s="9"/>
      <c r="O882" s="9"/>
      <c r="P882" s="9"/>
      <c r="Q882" s="9"/>
      <c r="R882" s="9"/>
      <c r="S882" s="9"/>
      <c r="T882" s="9"/>
      <c r="U882" s="9"/>
      <c r="V882" s="9"/>
      <c r="W882" s="9"/>
      <c r="X882" s="9"/>
      <c r="Y882" s="9"/>
      <c r="Z882" s="9"/>
    </row>
    <row r="883" ht="15.75" customHeight="1">
      <c r="A883" s="32"/>
      <c r="B883" s="9"/>
      <c r="C883" s="110"/>
      <c r="D883" s="134"/>
      <c r="E883" s="135"/>
      <c r="F883" s="9"/>
      <c r="G883" s="9"/>
      <c r="H883" s="9"/>
      <c r="I883" s="9"/>
      <c r="J883" s="9"/>
      <c r="K883" s="9"/>
      <c r="L883" s="9"/>
      <c r="M883" s="9"/>
      <c r="N883" s="9"/>
      <c r="O883" s="9"/>
      <c r="P883" s="9"/>
      <c r="Q883" s="9"/>
      <c r="R883" s="9"/>
      <c r="S883" s="9"/>
      <c r="T883" s="9"/>
      <c r="U883" s="9"/>
      <c r="V883" s="9"/>
      <c r="W883" s="9"/>
      <c r="X883" s="9"/>
      <c r="Y883" s="9"/>
      <c r="Z883" s="9"/>
    </row>
    <row r="884" ht="15.75" customHeight="1">
      <c r="A884" s="32"/>
      <c r="B884" s="9"/>
      <c r="C884" s="110"/>
      <c r="D884" s="134"/>
      <c r="E884" s="135"/>
      <c r="F884" s="9"/>
      <c r="G884" s="9"/>
      <c r="H884" s="9"/>
      <c r="I884" s="9"/>
      <c r="J884" s="9"/>
      <c r="K884" s="9"/>
      <c r="L884" s="9"/>
      <c r="M884" s="9"/>
      <c r="N884" s="9"/>
      <c r="O884" s="9"/>
      <c r="P884" s="9"/>
      <c r="Q884" s="9"/>
      <c r="R884" s="9"/>
      <c r="S884" s="9"/>
      <c r="T884" s="9"/>
      <c r="U884" s="9"/>
      <c r="V884" s="9"/>
      <c r="W884" s="9"/>
      <c r="X884" s="9"/>
      <c r="Y884" s="9"/>
      <c r="Z884" s="9"/>
    </row>
    <row r="885" ht="15.75" customHeight="1">
      <c r="A885" s="32"/>
      <c r="B885" s="9"/>
      <c r="C885" s="110"/>
      <c r="D885" s="134"/>
      <c r="E885" s="135"/>
      <c r="F885" s="9"/>
      <c r="G885" s="9"/>
      <c r="H885" s="9"/>
      <c r="I885" s="9"/>
      <c r="J885" s="9"/>
      <c r="K885" s="9"/>
      <c r="L885" s="9"/>
      <c r="M885" s="9"/>
      <c r="N885" s="9"/>
      <c r="O885" s="9"/>
      <c r="P885" s="9"/>
      <c r="Q885" s="9"/>
      <c r="R885" s="9"/>
      <c r="S885" s="9"/>
      <c r="T885" s="9"/>
      <c r="U885" s="9"/>
      <c r="V885" s="9"/>
      <c r="W885" s="9"/>
      <c r="X885" s="9"/>
      <c r="Y885" s="9"/>
      <c r="Z885" s="9"/>
    </row>
    <row r="886" ht="15.75" customHeight="1">
      <c r="A886" s="32"/>
      <c r="B886" s="9"/>
      <c r="C886" s="110"/>
      <c r="D886" s="134"/>
      <c r="E886" s="135"/>
      <c r="F886" s="9"/>
      <c r="G886" s="9"/>
      <c r="H886" s="9"/>
      <c r="I886" s="9"/>
      <c r="J886" s="9"/>
      <c r="K886" s="9"/>
      <c r="L886" s="9"/>
      <c r="M886" s="9"/>
      <c r="N886" s="9"/>
      <c r="O886" s="9"/>
      <c r="P886" s="9"/>
      <c r="Q886" s="9"/>
      <c r="R886" s="9"/>
      <c r="S886" s="9"/>
      <c r="T886" s="9"/>
      <c r="U886" s="9"/>
      <c r="V886" s="9"/>
      <c r="W886" s="9"/>
      <c r="X886" s="9"/>
      <c r="Y886" s="9"/>
      <c r="Z886" s="9"/>
    </row>
    <row r="887" ht="15.75" customHeight="1">
      <c r="A887" s="32"/>
      <c r="B887" s="9"/>
      <c r="C887" s="110"/>
      <c r="D887" s="134"/>
      <c r="E887" s="135"/>
      <c r="F887" s="9"/>
      <c r="G887" s="9"/>
      <c r="H887" s="9"/>
      <c r="I887" s="9"/>
      <c r="J887" s="9"/>
      <c r="K887" s="9"/>
      <c r="L887" s="9"/>
      <c r="M887" s="9"/>
      <c r="N887" s="9"/>
      <c r="O887" s="9"/>
      <c r="P887" s="9"/>
      <c r="Q887" s="9"/>
      <c r="R887" s="9"/>
      <c r="S887" s="9"/>
      <c r="T887" s="9"/>
      <c r="U887" s="9"/>
      <c r="V887" s="9"/>
      <c r="W887" s="9"/>
      <c r="X887" s="9"/>
      <c r="Y887" s="9"/>
      <c r="Z887" s="9"/>
    </row>
    <row r="888" ht="15.75" customHeight="1">
      <c r="A888" s="32"/>
      <c r="B888" s="9"/>
      <c r="C888" s="110"/>
      <c r="D888" s="134"/>
      <c r="E888" s="135"/>
      <c r="F888" s="9"/>
      <c r="G888" s="9"/>
      <c r="H888" s="9"/>
      <c r="I888" s="9"/>
      <c r="J888" s="9"/>
      <c r="K888" s="9"/>
      <c r="L888" s="9"/>
      <c r="M888" s="9"/>
      <c r="N888" s="9"/>
      <c r="O888" s="9"/>
      <c r="P888" s="9"/>
      <c r="Q888" s="9"/>
      <c r="R888" s="9"/>
      <c r="S888" s="9"/>
      <c r="T888" s="9"/>
      <c r="U888" s="9"/>
      <c r="V888" s="9"/>
      <c r="W888" s="9"/>
      <c r="X888" s="9"/>
      <c r="Y888" s="9"/>
      <c r="Z888" s="9"/>
    </row>
    <row r="889" ht="15.75" customHeight="1">
      <c r="A889" s="32"/>
      <c r="B889" s="9"/>
      <c r="C889" s="110"/>
      <c r="D889" s="134"/>
      <c r="E889" s="135"/>
      <c r="F889" s="9"/>
      <c r="G889" s="9"/>
      <c r="H889" s="9"/>
      <c r="I889" s="9"/>
      <c r="J889" s="9"/>
      <c r="K889" s="9"/>
      <c r="L889" s="9"/>
      <c r="M889" s="9"/>
      <c r="N889" s="9"/>
      <c r="O889" s="9"/>
      <c r="P889" s="9"/>
      <c r="Q889" s="9"/>
      <c r="R889" s="9"/>
      <c r="S889" s="9"/>
      <c r="T889" s="9"/>
      <c r="U889" s="9"/>
      <c r="V889" s="9"/>
      <c r="W889" s="9"/>
      <c r="X889" s="9"/>
      <c r="Y889" s="9"/>
      <c r="Z889" s="9"/>
    </row>
    <row r="890" ht="15.75" customHeight="1">
      <c r="A890" s="32"/>
      <c r="B890" s="9"/>
      <c r="C890" s="110"/>
      <c r="D890" s="134"/>
      <c r="E890" s="135"/>
      <c r="F890" s="9"/>
      <c r="G890" s="9"/>
      <c r="H890" s="9"/>
      <c r="I890" s="9"/>
      <c r="J890" s="9"/>
      <c r="K890" s="9"/>
      <c r="L890" s="9"/>
      <c r="M890" s="9"/>
      <c r="N890" s="9"/>
      <c r="O890" s="9"/>
      <c r="P890" s="9"/>
      <c r="Q890" s="9"/>
      <c r="R890" s="9"/>
      <c r="S890" s="9"/>
      <c r="T890" s="9"/>
      <c r="U890" s="9"/>
      <c r="V890" s="9"/>
      <c r="W890" s="9"/>
      <c r="X890" s="9"/>
      <c r="Y890" s="9"/>
      <c r="Z890" s="9"/>
    </row>
    <row r="891" ht="15.75" customHeight="1">
      <c r="A891" s="32"/>
      <c r="B891" s="9"/>
      <c r="C891" s="110"/>
      <c r="D891" s="134"/>
      <c r="E891" s="135"/>
      <c r="F891" s="9"/>
      <c r="G891" s="9"/>
      <c r="H891" s="9"/>
      <c r="I891" s="9"/>
      <c r="J891" s="9"/>
      <c r="K891" s="9"/>
      <c r="L891" s="9"/>
      <c r="M891" s="9"/>
      <c r="N891" s="9"/>
      <c r="O891" s="9"/>
      <c r="P891" s="9"/>
      <c r="Q891" s="9"/>
      <c r="R891" s="9"/>
      <c r="S891" s="9"/>
      <c r="T891" s="9"/>
      <c r="U891" s="9"/>
      <c r="V891" s="9"/>
      <c r="W891" s="9"/>
      <c r="X891" s="9"/>
      <c r="Y891" s="9"/>
      <c r="Z891" s="9"/>
    </row>
    <row r="892" ht="15.75" customHeight="1">
      <c r="A892" s="32"/>
      <c r="B892" s="9"/>
      <c r="C892" s="110"/>
      <c r="D892" s="134"/>
      <c r="E892" s="135"/>
      <c r="F892" s="9"/>
      <c r="G892" s="9"/>
      <c r="H892" s="9"/>
      <c r="I892" s="9"/>
      <c r="J892" s="9"/>
      <c r="K892" s="9"/>
      <c r="L892" s="9"/>
      <c r="M892" s="9"/>
      <c r="N892" s="9"/>
      <c r="O892" s="9"/>
      <c r="P892" s="9"/>
      <c r="Q892" s="9"/>
      <c r="R892" s="9"/>
      <c r="S892" s="9"/>
      <c r="T892" s="9"/>
      <c r="U892" s="9"/>
      <c r="V892" s="9"/>
      <c r="W892" s="9"/>
      <c r="X892" s="9"/>
      <c r="Y892" s="9"/>
      <c r="Z892" s="9"/>
    </row>
    <row r="893" ht="15.75" customHeight="1">
      <c r="A893" s="32"/>
      <c r="B893" s="9"/>
      <c r="C893" s="110"/>
      <c r="D893" s="134"/>
      <c r="E893" s="135"/>
      <c r="F893" s="9"/>
      <c r="G893" s="9"/>
      <c r="H893" s="9"/>
      <c r="I893" s="9"/>
      <c r="J893" s="9"/>
      <c r="K893" s="9"/>
      <c r="L893" s="9"/>
      <c r="M893" s="9"/>
      <c r="N893" s="9"/>
      <c r="O893" s="9"/>
      <c r="P893" s="9"/>
      <c r="Q893" s="9"/>
      <c r="R893" s="9"/>
      <c r="S893" s="9"/>
      <c r="T893" s="9"/>
      <c r="U893" s="9"/>
      <c r="V893" s="9"/>
      <c r="W893" s="9"/>
      <c r="X893" s="9"/>
      <c r="Y893" s="9"/>
      <c r="Z893" s="9"/>
    </row>
    <row r="894" ht="15.75" customHeight="1">
      <c r="A894" s="32"/>
      <c r="B894" s="9"/>
      <c r="C894" s="110"/>
      <c r="D894" s="134"/>
      <c r="E894" s="135"/>
      <c r="F894" s="9"/>
      <c r="G894" s="9"/>
      <c r="H894" s="9"/>
      <c r="I894" s="9"/>
      <c r="J894" s="9"/>
      <c r="K894" s="9"/>
      <c r="L894" s="9"/>
      <c r="M894" s="9"/>
      <c r="N894" s="9"/>
      <c r="O894" s="9"/>
      <c r="P894" s="9"/>
      <c r="Q894" s="9"/>
      <c r="R894" s="9"/>
      <c r="S894" s="9"/>
      <c r="T894" s="9"/>
      <c r="U894" s="9"/>
      <c r="V894" s="9"/>
      <c r="W894" s="9"/>
      <c r="X894" s="9"/>
      <c r="Y894" s="9"/>
      <c r="Z894" s="9"/>
    </row>
    <row r="895" ht="15.75" customHeight="1">
      <c r="A895" s="32"/>
      <c r="B895" s="9"/>
      <c r="C895" s="110"/>
      <c r="D895" s="134"/>
      <c r="E895" s="135"/>
      <c r="F895" s="9"/>
      <c r="G895" s="9"/>
      <c r="H895" s="9"/>
      <c r="I895" s="9"/>
      <c r="J895" s="9"/>
      <c r="K895" s="9"/>
      <c r="L895" s="9"/>
      <c r="M895" s="9"/>
      <c r="N895" s="9"/>
      <c r="O895" s="9"/>
      <c r="P895" s="9"/>
      <c r="Q895" s="9"/>
      <c r="R895" s="9"/>
      <c r="S895" s="9"/>
      <c r="T895" s="9"/>
      <c r="U895" s="9"/>
      <c r="V895" s="9"/>
      <c r="W895" s="9"/>
      <c r="X895" s="9"/>
      <c r="Y895" s="9"/>
      <c r="Z895" s="9"/>
    </row>
    <row r="896" ht="15.75" customHeight="1">
      <c r="A896" s="32"/>
      <c r="B896" s="9"/>
      <c r="C896" s="110"/>
      <c r="D896" s="134"/>
      <c r="E896" s="135"/>
      <c r="F896" s="9"/>
      <c r="G896" s="9"/>
      <c r="H896" s="9"/>
      <c r="I896" s="9"/>
      <c r="J896" s="9"/>
      <c r="K896" s="9"/>
      <c r="L896" s="9"/>
      <c r="M896" s="9"/>
      <c r="N896" s="9"/>
      <c r="O896" s="9"/>
      <c r="P896" s="9"/>
      <c r="Q896" s="9"/>
      <c r="R896" s="9"/>
      <c r="S896" s="9"/>
      <c r="T896" s="9"/>
      <c r="U896" s="9"/>
      <c r="V896" s="9"/>
      <c r="W896" s="9"/>
      <c r="X896" s="9"/>
      <c r="Y896" s="9"/>
      <c r="Z896" s="9"/>
    </row>
    <row r="897" ht="15.75" customHeight="1">
      <c r="A897" s="32"/>
      <c r="B897" s="9"/>
      <c r="C897" s="110"/>
      <c r="D897" s="134"/>
      <c r="E897" s="135"/>
      <c r="F897" s="9"/>
      <c r="G897" s="9"/>
      <c r="H897" s="9"/>
      <c r="I897" s="9"/>
      <c r="J897" s="9"/>
      <c r="K897" s="9"/>
      <c r="L897" s="9"/>
      <c r="M897" s="9"/>
      <c r="N897" s="9"/>
      <c r="O897" s="9"/>
      <c r="P897" s="9"/>
      <c r="Q897" s="9"/>
      <c r="R897" s="9"/>
      <c r="S897" s="9"/>
      <c r="T897" s="9"/>
      <c r="U897" s="9"/>
      <c r="V897" s="9"/>
      <c r="W897" s="9"/>
      <c r="X897" s="9"/>
      <c r="Y897" s="9"/>
      <c r="Z897" s="9"/>
    </row>
    <row r="898" ht="15.75" customHeight="1">
      <c r="A898" s="32"/>
      <c r="B898" s="9"/>
      <c r="C898" s="110"/>
      <c r="D898" s="134"/>
      <c r="E898" s="135"/>
      <c r="F898" s="9"/>
      <c r="G898" s="9"/>
      <c r="H898" s="9"/>
      <c r="I898" s="9"/>
      <c r="J898" s="9"/>
      <c r="K898" s="9"/>
      <c r="L898" s="9"/>
      <c r="M898" s="9"/>
      <c r="N898" s="9"/>
      <c r="O898" s="9"/>
      <c r="P898" s="9"/>
      <c r="Q898" s="9"/>
      <c r="R898" s="9"/>
      <c r="S898" s="9"/>
      <c r="T898" s="9"/>
      <c r="U898" s="9"/>
      <c r="V898" s="9"/>
      <c r="W898" s="9"/>
      <c r="X898" s="9"/>
      <c r="Y898" s="9"/>
      <c r="Z898" s="9"/>
    </row>
    <row r="899" ht="15.75" customHeight="1">
      <c r="A899" s="32"/>
      <c r="B899" s="9"/>
      <c r="C899" s="110"/>
      <c r="D899" s="134"/>
      <c r="E899" s="135"/>
      <c r="F899" s="9"/>
      <c r="G899" s="9"/>
      <c r="H899" s="9"/>
      <c r="I899" s="9"/>
      <c r="J899" s="9"/>
      <c r="K899" s="9"/>
      <c r="L899" s="9"/>
      <c r="M899" s="9"/>
      <c r="N899" s="9"/>
      <c r="O899" s="9"/>
      <c r="P899" s="9"/>
      <c r="Q899" s="9"/>
      <c r="R899" s="9"/>
      <c r="S899" s="9"/>
      <c r="T899" s="9"/>
      <c r="U899" s="9"/>
      <c r="V899" s="9"/>
      <c r="W899" s="9"/>
      <c r="X899" s="9"/>
      <c r="Y899" s="9"/>
      <c r="Z899" s="9"/>
    </row>
    <row r="900" ht="15.75" customHeight="1">
      <c r="A900" s="32"/>
      <c r="B900" s="9"/>
      <c r="C900" s="110"/>
      <c r="D900" s="134"/>
      <c r="E900" s="135"/>
      <c r="F900" s="9"/>
      <c r="G900" s="9"/>
      <c r="H900" s="9"/>
      <c r="I900" s="9"/>
      <c r="J900" s="9"/>
      <c r="K900" s="9"/>
      <c r="L900" s="9"/>
      <c r="M900" s="9"/>
      <c r="N900" s="9"/>
      <c r="O900" s="9"/>
      <c r="P900" s="9"/>
      <c r="Q900" s="9"/>
      <c r="R900" s="9"/>
      <c r="S900" s="9"/>
      <c r="T900" s="9"/>
      <c r="U900" s="9"/>
      <c r="V900" s="9"/>
      <c r="W900" s="9"/>
      <c r="X900" s="9"/>
      <c r="Y900" s="9"/>
      <c r="Z900" s="9"/>
    </row>
    <row r="901" ht="15.75" customHeight="1">
      <c r="A901" s="32"/>
      <c r="B901" s="9"/>
      <c r="C901" s="110"/>
      <c r="D901" s="134"/>
      <c r="E901" s="135"/>
      <c r="F901" s="9"/>
      <c r="G901" s="9"/>
      <c r="H901" s="9"/>
      <c r="I901" s="9"/>
      <c r="J901" s="9"/>
      <c r="K901" s="9"/>
      <c r="L901" s="9"/>
      <c r="M901" s="9"/>
      <c r="N901" s="9"/>
      <c r="O901" s="9"/>
      <c r="P901" s="9"/>
      <c r="Q901" s="9"/>
      <c r="R901" s="9"/>
      <c r="S901" s="9"/>
      <c r="T901" s="9"/>
      <c r="U901" s="9"/>
      <c r="V901" s="9"/>
      <c r="W901" s="9"/>
      <c r="X901" s="9"/>
      <c r="Y901" s="9"/>
      <c r="Z901" s="9"/>
    </row>
    <row r="902" ht="15.75" customHeight="1">
      <c r="A902" s="32"/>
      <c r="B902" s="9"/>
      <c r="C902" s="110"/>
      <c r="D902" s="134"/>
      <c r="E902" s="135"/>
      <c r="F902" s="9"/>
      <c r="G902" s="9"/>
      <c r="H902" s="9"/>
      <c r="I902" s="9"/>
      <c r="J902" s="9"/>
      <c r="K902" s="9"/>
      <c r="L902" s="9"/>
      <c r="M902" s="9"/>
      <c r="N902" s="9"/>
      <c r="O902" s="9"/>
      <c r="P902" s="9"/>
      <c r="Q902" s="9"/>
      <c r="R902" s="9"/>
      <c r="S902" s="9"/>
      <c r="T902" s="9"/>
      <c r="U902" s="9"/>
      <c r="V902" s="9"/>
      <c r="W902" s="9"/>
      <c r="X902" s="9"/>
      <c r="Y902" s="9"/>
      <c r="Z902" s="9"/>
    </row>
    <row r="903" ht="15.75" customHeight="1">
      <c r="A903" s="32"/>
      <c r="B903" s="9"/>
      <c r="C903" s="110"/>
      <c r="D903" s="134"/>
      <c r="E903" s="135"/>
      <c r="F903" s="9"/>
      <c r="G903" s="9"/>
      <c r="H903" s="9"/>
      <c r="I903" s="9"/>
      <c r="J903" s="9"/>
      <c r="K903" s="9"/>
      <c r="L903" s="9"/>
      <c r="M903" s="9"/>
      <c r="N903" s="9"/>
      <c r="O903" s="9"/>
      <c r="P903" s="9"/>
      <c r="Q903" s="9"/>
      <c r="R903" s="9"/>
      <c r="S903" s="9"/>
      <c r="T903" s="9"/>
      <c r="U903" s="9"/>
      <c r="V903" s="9"/>
      <c r="W903" s="9"/>
      <c r="X903" s="9"/>
      <c r="Y903" s="9"/>
      <c r="Z903" s="9"/>
    </row>
    <row r="904" ht="15.75" customHeight="1">
      <c r="A904" s="32"/>
      <c r="B904" s="9"/>
      <c r="C904" s="110"/>
      <c r="D904" s="134"/>
      <c r="E904" s="135"/>
      <c r="F904" s="9"/>
      <c r="G904" s="9"/>
      <c r="H904" s="9"/>
      <c r="I904" s="9"/>
      <c r="J904" s="9"/>
      <c r="K904" s="9"/>
      <c r="L904" s="9"/>
      <c r="M904" s="9"/>
      <c r="N904" s="9"/>
      <c r="O904" s="9"/>
      <c r="P904" s="9"/>
      <c r="Q904" s="9"/>
      <c r="R904" s="9"/>
      <c r="S904" s="9"/>
      <c r="T904" s="9"/>
      <c r="U904" s="9"/>
      <c r="V904" s="9"/>
      <c r="W904" s="9"/>
      <c r="X904" s="9"/>
      <c r="Y904" s="9"/>
      <c r="Z904" s="9"/>
    </row>
    <row r="905" ht="15.75" customHeight="1">
      <c r="A905" s="32"/>
      <c r="B905" s="9"/>
      <c r="C905" s="110"/>
      <c r="D905" s="134"/>
      <c r="E905" s="135"/>
      <c r="F905" s="9"/>
      <c r="G905" s="9"/>
      <c r="H905" s="9"/>
      <c r="I905" s="9"/>
      <c r="J905" s="9"/>
      <c r="K905" s="9"/>
      <c r="L905" s="9"/>
      <c r="M905" s="9"/>
      <c r="N905" s="9"/>
      <c r="O905" s="9"/>
      <c r="P905" s="9"/>
      <c r="Q905" s="9"/>
      <c r="R905" s="9"/>
      <c r="S905" s="9"/>
      <c r="T905" s="9"/>
      <c r="U905" s="9"/>
      <c r="V905" s="9"/>
      <c r="W905" s="9"/>
      <c r="X905" s="9"/>
      <c r="Y905" s="9"/>
      <c r="Z905" s="9"/>
    </row>
    <row r="906" ht="15.75" customHeight="1">
      <c r="A906" s="32"/>
      <c r="B906" s="9"/>
      <c r="C906" s="110"/>
      <c r="D906" s="134"/>
      <c r="E906" s="135"/>
      <c r="F906" s="9"/>
      <c r="G906" s="9"/>
      <c r="H906" s="9"/>
      <c r="I906" s="9"/>
      <c r="J906" s="9"/>
      <c r="K906" s="9"/>
      <c r="L906" s="9"/>
      <c r="M906" s="9"/>
      <c r="N906" s="9"/>
      <c r="O906" s="9"/>
      <c r="P906" s="9"/>
      <c r="Q906" s="9"/>
      <c r="R906" s="9"/>
      <c r="S906" s="9"/>
      <c r="T906" s="9"/>
      <c r="U906" s="9"/>
      <c r="V906" s="9"/>
      <c r="W906" s="9"/>
      <c r="X906" s="9"/>
      <c r="Y906" s="9"/>
      <c r="Z906" s="9"/>
    </row>
    <row r="907" ht="15.75" customHeight="1">
      <c r="A907" s="32"/>
      <c r="B907" s="9"/>
      <c r="C907" s="110"/>
      <c r="D907" s="134"/>
      <c r="E907" s="135"/>
      <c r="F907" s="9"/>
      <c r="G907" s="9"/>
      <c r="H907" s="9"/>
      <c r="I907" s="9"/>
      <c r="J907" s="9"/>
      <c r="K907" s="9"/>
      <c r="L907" s="9"/>
      <c r="M907" s="9"/>
      <c r="N907" s="9"/>
      <c r="O907" s="9"/>
      <c r="P907" s="9"/>
      <c r="Q907" s="9"/>
      <c r="R907" s="9"/>
      <c r="S907" s="9"/>
      <c r="T907" s="9"/>
      <c r="U907" s="9"/>
      <c r="V907" s="9"/>
      <c r="W907" s="9"/>
      <c r="X907" s="9"/>
      <c r="Y907" s="9"/>
      <c r="Z907" s="9"/>
    </row>
    <row r="908" ht="15.75" customHeight="1">
      <c r="A908" s="32"/>
      <c r="B908" s="9"/>
      <c r="C908" s="110"/>
      <c r="D908" s="134"/>
      <c r="E908" s="135"/>
      <c r="F908" s="9"/>
      <c r="G908" s="9"/>
      <c r="H908" s="9"/>
      <c r="I908" s="9"/>
      <c r="J908" s="9"/>
      <c r="K908" s="9"/>
      <c r="L908" s="9"/>
      <c r="M908" s="9"/>
      <c r="N908" s="9"/>
      <c r="O908" s="9"/>
      <c r="P908" s="9"/>
      <c r="Q908" s="9"/>
      <c r="R908" s="9"/>
      <c r="S908" s="9"/>
      <c r="T908" s="9"/>
      <c r="U908" s="9"/>
      <c r="V908" s="9"/>
      <c r="W908" s="9"/>
      <c r="X908" s="9"/>
      <c r="Y908" s="9"/>
      <c r="Z908" s="9"/>
    </row>
    <row r="909" ht="15.75" customHeight="1">
      <c r="A909" s="32"/>
      <c r="B909" s="9"/>
      <c r="C909" s="110"/>
      <c r="D909" s="134"/>
      <c r="E909" s="135"/>
      <c r="F909" s="9"/>
      <c r="G909" s="9"/>
      <c r="H909" s="9"/>
      <c r="I909" s="9"/>
      <c r="J909" s="9"/>
      <c r="K909" s="9"/>
      <c r="L909" s="9"/>
      <c r="M909" s="9"/>
      <c r="N909" s="9"/>
      <c r="O909" s="9"/>
      <c r="P909" s="9"/>
      <c r="Q909" s="9"/>
      <c r="R909" s="9"/>
      <c r="S909" s="9"/>
      <c r="T909" s="9"/>
      <c r="U909" s="9"/>
      <c r="V909" s="9"/>
      <c r="W909" s="9"/>
      <c r="X909" s="9"/>
      <c r="Y909" s="9"/>
      <c r="Z909" s="9"/>
    </row>
    <row r="910" ht="15.75" customHeight="1">
      <c r="A910" s="32"/>
      <c r="B910" s="9"/>
      <c r="C910" s="110"/>
      <c r="D910" s="134"/>
      <c r="E910" s="135"/>
      <c r="F910" s="9"/>
      <c r="G910" s="9"/>
      <c r="H910" s="9"/>
      <c r="I910" s="9"/>
      <c r="J910" s="9"/>
      <c r="K910" s="9"/>
      <c r="L910" s="9"/>
      <c r="M910" s="9"/>
      <c r="N910" s="9"/>
      <c r="O910" s="9"/>
      <c r="P910" s="9"/>
      <c r="Q910" s="9"/>
      <c r="R910" s="9"/>
      <c r="S910" s="9"/>
      <c r="T910" s="9"/>
      <c r="U910" s="9"/>
      <c r="V910" s="9"/>
      <c r="W910" s="9"/>
      <c r="X910" s="9"/>
      <c r="Y910" s="9"/>
      <c r="Z910" s="9"/>
    </row>
    <row r="911" ht="15.75" customHeight="1">
      <c r="A911" s="32"/>
      <c r="B911" s="9"/>
      <c r="C911" s="110"/>
      <c r="D911" s="134"/>
      <c r="E911" s="135"/>
      <c r="F911" s="9"/>
      <c r="G911" s="9"/>
      <c r="H911" s="9"/>
      <c r="I911" s="9"/>
      <c r="J911" s="9"/>
      <c r="K911" s="9"/>
      <c r="L911" s="9"/>
      <c r="M911" s="9"/>
      <c r="N911" s="9"/>
      <c r="O911" s="9"/>
      <c r="P911" s="9"/>
      <c r="Q911" s="9"/>
      <c r="R911" s="9"/>
      <c r="S911" s="9"/>
      <c r="T911" s="9"/>
      <c r="U911" s="9"/>
      <c r="V911" s="9"/>
      <c r="W911" s="9"/>
      <c r="X911" s="9"/>
      <c r="Y911" s="9"/>
      <c r="Z911" s="9"/>
    </row>
    <row r="912" ht="15.75" customHeight="1">
      <c r="A912" s="32"/>
      <c r="B912" s="9"/>
      <c r="C912" s="110"/>
      <c r="D912" s="134"/>
      <c r="E912" s="135"/>
      <c r="F912" s="9"/>
      <c r="G912" s="9"/>
      <c r="H912" s="9"/>
      <c r="I912" s="9"/>
      <c r="J912" s="9"/>
      <c r="K912" s="9"/>
      <c r="L912" s="9"/>
      <c r="M912" s="9"/>
      <c r="N912" s="9"/>
      <c r="O912" s="9"/>
      <c r="P912" s="9"/>
      <c r="Q912" s="9"/>
      <c r="R912" s="9"/>
      <c r="S912" s="9"/>
      <c r="T912" s="9"/>
      <c r="U912" s="9"/>
      <c r="V912" s="9"/>
      <c r="W912" s="9"/>
      <c r="X912" s="9"/>
      <c r="Y912" s="9"/>
      <c r="Z912" s="9"/>
    </row>
    <row r="913" ht="15.75" customHeight="1">
      <c r="A913" s="32"/>
      <c r="B913" s="9"/>
      <c r="C913" s="110"/>
      <c r="D913" s="134"/>
      <c r="E913" s="135"/>
      <c r="F913" s="9"/>
      <c r="G913" s="9"/>
      <c r="H913" s="9"/>
      <c r="I913" s="9"/>
      <c r="J913" s="9"/>
      <c r="K913" s="9"/>
      <c r="L913" s="9"/>
      <c r="M913" s="9"/>
      <c r="N913" s="9"/>
      <c r="O913" s="9"/>
      <c r="P913" s="9"/>
      <c r="Q913" s="9"/>
      <c r="R913" s="9"/>
      <c r="S913" s="9"/>
      <c r="T913" s="9"/>
      <c r="U913" s="9"/>
      <c r="V913" s="9"/>
      <c r="W913" s="9"/>
      <c r="X913" s="9"/>
      <c r="Y913" s="9"/>
      <c r="Z913" s="9"/>
    </row>
    <row r="914" ht="15.75" customHeight="1">
      <c r="A914" s="32"/>
      <c r="B914" s="9"/>
      <c r="C914" s="110"/>
      <c r="D914" s="134"/>
      <c r="E914" s="135"/>
      <c r="F914" s="9"/>
      <c r="G914" s="9"/>
      <c r="H914" s="9"/>
      <c r="I914" s="9"/>
      <c r="J914" s="9"/>
      <c r="K914" s="9"/>
      <c r="L914" s="9"/>
      <c r="M914" s="9"/>
      <c r="N914" s="9"/>
      <c r="O914" s="9"/>
      <c r="P914" s="9"/>
      <c r="Q914" s="9"/>
      <c r="R914" s="9"/>
      <c r="S914" s="9"/>
      <c r="T914" s="9"/>
      <c r="U914" s="9"/>
      <c r="V914" s="9"/>
      <c r="W914" s="9"/>
      <c r="X914" s="9"/>
      <c r="Y914" s="9"/>
      <c r="Z914" s="9"/>
    </row>
    <row r="915" ht="15.75" customHeight="1">
      <c r="A915" s="32"/>
      <c r="B915" s="9"/>
      <c r="C915" s="110"/>
      <c r="D915" s="134"/>
      <c r="E915" s="135"/>
      <c r="F915" s="9"/>
      <c r="G915" s="9"/>
      <c r="H915" s="9"/>
      <c r="I915" s="9"/>
      <c r="J915" s="9"/>
      <c r="K915" s="9"/>
      <c r="L915" s="9"/>
      <c r="M915" s="9"/>
      <c r="N915" s="9"/>
      <c r="O915" s="9"/>
      <c r="P915" s="9"/>
      <c r="Q915" s="9"/>
      <c r="R915" s="9"/>
      <c r="S915" s="9"/>
      <c r="T915" s="9"/>
      <c r="U915" s="9"/>
      <c r="V915" s="9"/>
      <c r="W915" s="9"/>
      <c r="X915" s="9"/>
      <c r="Y915" s="9"/>
      <c r="Z915" s="9"/>
    </row>
    <row r="916" ht="15.75" customHeight="1">
      <c r="A916" s="32"/>
      <c r="B916" s="9"/>
      <c r="C916" s="110"/>
      <c r="D916" s="134"/>
      <c r="E916" s="135"/>
      <c r="F916" s="9"/>
      <c r="G916" s="9"/>
      <c r="H916" s="9"/>
      <c r="I916" s="9"/>
      <c r="J916" s="9"/>
      <c r="K916" s="9"/>
      <c r="L916" s="9"/>
      <c r="M916" s="9"/>
      <c r="N916" s="9"/>
      <c r="O916" s="9"/>
      <c r="P916" s="9"/>
      <c r="Q916" s="9"/>
      <c r="R916" s="9"/>
      <c r="S916" s="9"/>
      <c r="T916" s="9"/>
      <c r="U916" s="9"/>
      <c r="V916" s="9"/>
      <c r="W916" s="9"/>
      <c r="X916" s="9"/>
      <c r="Y916" s="9"/>
      <c r="Z916" s="9"/>
    </row>
    <row r="917" ht="15.75" customHeight="1">
      <c r="A917" s="32"/>
      <c r="B917" s="9"/>
      <c r="C917" s="110"/>
      <c r="D917" s="134"/>
      <c r="E917" s="135"/>
      <c r="F917" s="9"/>
      <c r="G917" s="9"/>
      <c r="H917" s="9"/>
      <c r="I917" s="9"/>
      <c r="J917" s="9"/>
      <c r="K917" s="9"/>
      <c r="L917" s="9"/>
      <c r="M917" s="9"/>
      <c r="N917" s="9"/>
      <c r="O917" s="9"/>
      <c r="P917" s="9"/>
      <c r="Q917" s="9"/>
      <c r="R917" s="9"/>
      <c r="S917" s="9"/>
      <c r="T917" s="9"/>
      <c r="U917" s="9"/>
      <c r="V917" s="9"/>
      <c r="W917" s="9"/>
      <c r="X917" s="9"/>
      <c r="Y917" s="9"/>
      <c r="Z917" s="9"/>
    </row>
    <row r="918" ht="15.75" customHeight="1">
      <c r="A918" s="32"/>
      <c r="B918" s="9"/>
      <c r="C918" s="110"/>
      <c r="D918" s="134"/>
      <c r="E918" s="135"/>
      <c r="F918" s="9"/>
      <c r="G918" s="9"/>
      <c r="H918" s="9"/>
      <c r="I918" s="9"/>
      <c r="J918" s="9"/>
      <c r="K918" s="9"/>
      <c r="L918" s="9"/>
      <c r="M918" s="9"/>
      <c r="N918" s="9"/>
      <c r="O918" s="9"/>
      <c r="P918" s="9"/>
      <c r="Q918" s="9"/>
      <c r="R918" s="9"/>
      <c r="S918" s="9"/>
      <c r="T918" s="9"/>
      <c r="U918" s="9"/>
      <c r="V918" s="9"/>
      <c r="W918" s="9"/>
      <c r="X918" s="9"/>
      <c r="Y918" s="9"/>
      <c r="Z918" s="9"/>
    </row>
    <row r="919" ht="15.75" customHeight="1">
      <c r="A919" s="32"/>
      <c r="B919" s="9"/>
      <c r="C919" s="110"/>
      <c r="D919" s="134"/>
      <c r="E919" s="135"/>
      <c r="F919" s="9"/>
      <c r="G919" s="9"/>
      <c r="H919" s="9"/>
      <c r="I919" s="9"/>
      <c r="J919" s="9"/>
      <c r="K919" s="9"/>
      <c r="L919" s="9"/>
      <c r="M919" s="9"/>
      <c r="N919" s="9"/>
      <c r="O919" s="9"/>
      <c r="P919" s="9"/>
      <c r="Q919" s="9"/>
      <c r="R919" s="9"/>
      <c r="S919" s="9"/>
      <c r="T919" s="9"/>
      <c r="U919" s="9"/>
      <c r="V919" s="9"/>
      <c r="W919" s="9"/>
      <c r="X919" s="9"/>
      <c r="Y919" s="9"/>
      <c r="Z919" s="9"/>
    </row>
    <row r="920" ht="15.75" customHeight="1">
      <c r="A920" s="32"/>
      <c r="B920" s="9"/>
      <c r="C920" s="110"/>
      <c r="D920" s="134"/>
      <c r="E920" s="135"/>
      <c r="F920" s="9"/>
      <c r="G920" s="9"/>
      <c r="H920" s="9"/>
      <c r="I920" s="9"/>
      <c r="J920" s="9"/>
      <c r="K920" s="9"/>
      <c r="L920" s="9"/>
      <c r="M920" s="9"/>
      <c r="N920" s="9"/>
      <c r="O920" s="9"/>
      <c r="P920" s="9"/>
      <c r="Q920" s="9"/>
      <c r="R920" s="9"/>
      <c r="S920" s="9"/>
      <c r="T920" s="9"/>
      <c r="U920" s="9"/>
      <c r="V920" s="9"/>
      <c r="W920" s="9"/>
      <c r="X920" s="9"/>
      <c r="Y920" s="9"/>
      <c r="Z920" s="9"/>
    </row>
    <row r="921" ht="15.75" customHeight="1">
      <c r="A921" s="32"/>
      <c r="B921" s="9"/>
      <c r="C921" s="110"/>
      <c r="D921" s="134"/>
      <c r="E921" s="135"/>
      <c r="F921" s="9"/>
      <c r="G921" s="9"/>
      <c r="H921" s="9"/>
      <c r="I921" s="9"/>
      <c r="J921" s="9"/>
      <c r="K921" s="9"/>
      <c r="L921" s="9"/>
      <c r="M921" s="9"/>
      <c r="N921" s="9"/>
      <c r="O921" s="9"/>
      <c r="P921" s="9"/>
      <c r="Q921" s="9"/>
      <c r="R921" s="9"/>
      <c r="S921" s="9"/>
      <c r="T921" s="9"/>
      <c r="U921" s="9"/>
      <c r="V921" s="9"/>
      <c r="W921" s="9"/>
      <c r="X921" s="9"/>
      <c r="Y921" s="9"/>
      <c r="Z921" s="9"/>
    </row>
    <row r="922" ht="15.75" customHeight="1">
      <c r="A922" s="32"/>
      <c r="B922" s="9"/>
      <c r="C922" s="110"/>
      <c r="D922" s="134"/>
      <c r="E922" s="135"/>
      <c r="F922" s="9"/>
      <c r="G922" s="9"/>
      <c r="H922" s="9"/>
      <c r="I922" s="9"/>
      <c r="J922" s="9"/>
      <c r="K922" s="9"/>
      <c r="L922" s="9"/>
      <c r="M922" s="9"/>
      <c r="N922" s="9"/>
      <c r="O922" s="9"/>
      <c r="P922" s="9"/>
      <c r="Q922" s="9"/>
      <c r="R922" s="9"/>
      <c r="S922" s="9"/>
      <c r="T922" s="9"/>
      <c r="U922" s="9"/>
      <c r="V922" s="9"/>
      <c r="W922" s="9"/>
      <c r="X922" s="9"/>
      <c r="Y922" s="9"/>
      <c r="Z922" s="9"/>
    </row>
    <row r="923" ht="15.75" customHeight="1">
      <c r="A923" s="32"/>
      <c r="B923" s="9"/>
      <c r="C923" s="110"/>
      <c r="D923" s="134"/>
      <c r="E923" s="135"/>
      <c r="F923" s="9"/>
      <c r="G923" s="9"/>
      <c r="H923" s="9"/>
      <c r="I923" s="9"/>
      <c r="J923" s="9"/>
      <c r="K923" s="9"/>
      <c r="L923" s="9"/>
      <c r="M923" s="9"/>
      <c r="N923" s="9"/>
      <c r="O923" s="9"/>
      <c r="P923" s="9"/>
      <c r="Q923" s="9"/>
      <c r="R923" s="9"/>
      <c r="S923" s="9"/>
      <c r="T923" s="9"/>
      <c r="U923" s="9"/>
      <c r="V923" s="9"/>
      <c r="W923" s="9"/>
      <c r="X923" s="9"/>
      <c r="Y923" s="9"/>
      <c r="Z923" s="9"/>
    </row>
    <row r="924" ht="15.75" customHeight="1">
      <c r="A924" s="32"/>
      <c r="B924" s="9"/>
      <c r="C924" s="110"/>
      <c r="D924" s="134"/>
      <c r="E924" s="135"/>
      <c r="F924" s="9"/>
      <c r="G924" s="9"/>
      <c r="H924" s="9"/>
      <c r="I924" s="9"/>
      <c r="J924" s="9"/>
      <c r="K924" s="9"/>
      <c r="L924" s="9"/>
      <c r="M924" s="9"/>
      <c r="N924" s="9"/>
      <c r="O924" s="9"/>
      <c r="P924" s="9"/>
      <c r="Q924" s="9"/>
      <c r="R924" s="9"/>
      <c r="S924" s="9"/>
      <c r="T924" s="9"/>
      <c r="U924" s="9"/>
      <c r="V924" s="9"/>
      <c r="W924" s="9"/>
      <c r="X924" s="9"/>
      <c r="Y924" s="9"/>
      <c r="Z924" s="9"/>
    </row>
    <row r="925" ht="15.75" customHeight="1">
      <c r="A925" s="32"/>
      <c r="B925" s="9"/>
      <c r="C925" s="110"/>
      <c r="D925" s="134"/>
      <c r="E925" s="135"/>
      <c r="F925" s="9"/>
      <c r="G925" s="9"/>
      <c r="H925" s="9"/>
      <c r="I925" s="9"/>
      <c r="J925" s="9"/>
      <c r="K925" s="9"/>
      <c r="L925" s="9"/>
      <c r="M925" s="9"/>
      <c r="N925" s="9"/>
      <c r="O925" s="9"/>
      <c r="P925" s="9"/>
      <c r="Q925" s="9"/>
      <c r="R925" s="9"/>
      <c r="S925" s="9"/>
      <c r="T925" s="9"/>
      <c r="U925" s="9"/>
      <c r="V925" s="9"/>
      <c r="W925" s="9"/>
      <c r="X925" s="9"/>
      <c r="Y925" s="9"/>
      <c r="Z925" s="9"/>
    </row>
    <row r="926" ht="15.75" customHeight="1">
      <c r="A926" s="32"/>
      <c r="B926" s="9"/>
      <c r="C926" s="110"/>
      <c r="D926" s="134"/>
      <c r="E926" s="135"/>
      <c r="F926" s="9"/>
      <c r="G926" s="9"/>
      <c r="H926" s="9"/>
      <c r="I926" s="9"/>
      <c r="J926" s="9"/>
      <c r="K926" s="9"/>
      <c r="L926" s="9"/>
      <c r="M926" s="9"/>
      <c r="N926" s="9"/>
      <c r="O926" s="9"/>
      <c r="P926" s="9"/>
      <c r="Q926" s="9"/>
      <c r="R926" s="9"/>
      <c r="S926" s="9"/>
      <c r="T926" s="9"/>
      <c r="U926" s="9"/>
      <c r="V926" s="9"/>
      <c r="W926" s="9"/>
      <c r="X926" s="9"/>
      <c r="Y926" s="9"/>
      <c r="Z926" s="9"/>
    </row>
    <row r="927" ht="15.75" customHeight="1">
      <c r="A927" s="32"/>
      <c r="B927" s="9"/>
      <c r="C927" s="110"/>
      <c r="D927" s="134"/>
      <c r="E927" s="135"/>
      <c r="F927" s="9"/>
      <c r="G927" s="9"/>
      <c r="H927" s="9"/>
      <c r="I927" s="9"/>
      <c r="J927" s="9"/>
      <c r="K927" s="9"/>
      <c r="L927" s="9"/>
      <c r="M927" s="9"/>
      <c r="N927" s="9"/>
      <c r="O927" s="9"/>
      <c r="P927" s="9"/>
      <c r="Q927" s="9"/>
      <c r="R927" s="9"/>
      <c r="S927" s="9"/>
      <c r="T927" s="9"/>
      <c r="U927" s="9"/>
      <c r="V927" s="9"/>
      <c r="W927" s="9"/>
      <c r="X927" s="9"/>
      <c r="Y927" s="9"/>
      <c r="Z927" s="9"/>
    </row>
    <row r="928" ht="15.75" customHeight="1">
      <c r="A928" s="32"/>
      <c r="B928" s="9"/>
      <c r="C928" s="110"/>
      <c r="D928" s="134"/>
      <c r="E928" s="135"/>
      <c r="F928" s="9"/>
      <c r="G928" s="9"/>
      <c r="H928" s="9"/>
      <c r="I928" s="9"/>
      <c r="J928" s="9"/>
      <c r="K928" s="9"/>
      <c r="L928" s="9"/>
      <c r="M928" s="9"/>
      <c r="N928" s="9"/>
      <c r="O928" s="9"/>
      <c r="P928" s="9"/>
      <c r="Q928" s="9"/>
      <c r="R928" s="9"/>
      <c r="S928" s="9"/>
      <c r="T928" s="9"/>
      <c r="U928" s="9"/>
      <c r="V928" s="9"/>
      <c r="W928" s="9"/>
      <c r="X928" s="9"/>
      <c r="Y928" s="9"/>
      <c r="Z928" s="9"/>
    </row>
    <row r="929" ht="15.75" customHeight="1">
      <c r="A929" s="32"/>
      <c r="B929" s="9"/>
      <c r="C929" s="110"/>
      <c r="D929" s="134"/>
      <c r="E929" s="135"/>
      <c r="F929" s="9"/>
      <c r="G929" s="9"/>
      <c r="H929" s="9"/>
      <c r="I929" s="9"/>
      <c r="J929" s="9"/>
      <c r="K929" s="9"/>
      <c r="L929" s="9"/>
      <c r="M929" s="9"/>
      <c r="N929" s="9"/>
      <c r="O929" s="9"/>
      <c r="P929" s="9"/>
      <c r="Q929" s="9"/>
      <c r="R929" s="9"/>
      <c r="S929" s="9"/>
      <c r="T929" s="9"/>
      <c r="U929" s="9"/>
      <c r="V929" s="9"/>
      <c r="W929" s="9"/>
      <c r="X929" s="9"/>
      <c r="Y929" s="9"/>
      <c r="Z929" s="9"/>
    </row>
    <row r="930" ht="15.75" customHeight="1">
      <c r="A930" s="32"/>
      <c r="B930" s="9"/>
      <c r="C930" s="110"/>
      <c r="D930" s="134"/>
      <c r="E930" s="135"/>
      <c r="F930" s="9"/>
      <c r="G930" s="9"/>
      <c r="H930" s="9"/>
      <c r="I930" s="9"/>
      <c r="J930" s="9"/>
      <c r="K930" s="9"/>
      <c r="L930" s="9"/>
      <c r="M930" s="9"/>
      <c r="N930" s="9"/>
      <c r="O930" s="9"/>
      <c r="P930" s="9"/>
      <c r="Q930" s="9"/>
      <c r="R930" s="9"/>
      <c r="S930" s="9"/>
      <c r="T930" s="9"/>
      <c r="U930" s="9"/>
      <c r="V930" s="9"/>
      <c r="W930" s="9"/>
      <c r="X930" s="9"/>
      <c r="Y930" s="9"/>
      <c r="Z930" s="9"/>
    </row>
    <row r="931" ht="15.75" customHeight="1">
      <c r="A931" s="32"/>
      <c r="B931" s="9"/>
      <c r="C931" s="110"/>
      <c r="D931" s="134"/>
      <c r="E931" s="135"/>
      <c r="F931" s="9"/>
      <c r="G931" s="9"/>
      <c r="H931" s="9"/>
      <c r="I931" s="9"/>
      <c r="J931" s="9"/>
      <c r="K931" s="9"/>
      <c r="L931" s="9"/>
      <c r="M931" s="9"/>
      <c r="N931" s="9"/>
      <c r="O931" s="9"/>
      <c r="P931" s="9"/>
      <c r="Q931" s="9"/>
      <c r="R931" s="9"/>
      <c r="S931" s="9"/>
      <c r="T931" s="9"/>
      <c r="U931" s="9"/>
      <c r="V931" s="9"/>
      <c r="W931" s="9"/>
      <c r="X931" s="9"/>
      <c r="Y931" s="9"/>
      <c r="Z931" s="9"/>
    </row>
    <row r="932" ht="15.75" customHeight="1">
      <c r="A932" s="32"/>
      <c r="B932" s="9"/>
      <c r="C932" s="110"/>
      <c r="D932" s="134"/>
      <c r="E932" s="135"/>
      <c r="F932" s="9"/>
      <c r="G932" s="9"/>
      <c r="H932" s="9"/>
      <c r="I932" s="9"/>
      <c r="J932" s="9"/>
      <c r="K932" s="9"/>
      <c r="L932" s="9"/>
      <c r="M932" s="9"/>
      <c r="N932" s="9"/>
      <c r="O932" s="9"/>
      <c r="P932" s="9"/>
      <c r="Q932" s="9"/>
      <c r="R932" s="9"/>
      <c r="S932" s="9"/>
      <c r="T932" s="9"/>
      <c r="U932" s="9"/>
      <c r="V932" s="9"/>
      <c r="W932" s="9"/>
      <c r="X932" s="9"/>
      <c r="Y932" s="9"/>
      <c r="Z932" s="9"/>
    </row>
    <row r="933" ht="15.75" customHeight="1">
      <c r="A933" s="32"/>
      <c r="B933" s="9"/>
      <c r="C933" s="110"/>
      <c r="D933" s="134"/>
      <c r="E933" s="135"/>
      <c r="F933" s="9"/>
      <c r="G933" s="9"/>
      <c r="H933" s="9"/>
      <c r="I933" s="9"/>
      <c r="J933" s="9"/>
      <c r="K933" s="9"/>
      <c r="L933" s="9"/>
      <c r="M933" s="9"/>
      <c r="N933" s="9"/>
      <c r="O933" s="9"/>
      <c r="P933" s="9"/>
      <c r="Q933" s="9"/>
      <c r="R933" s="9"/>
      <c r="S933" s="9"/>
      <c r="T933" s="9"/>
      <c r="U933" s="9"/>
      <c r="V933" s="9"/>
      <c r="W933" s="9"/>
      <c r="X933" s="9"/>
      <c r="Y933" s="9"/>
      <c r="Z933" s="9"/>
    </row>
    <row r="934" ht="15.75" customHeight="1">
      <c r="A934" s="32"/>
      <c r="B934" s="9"/>
      <c r="C934" s="110"/>
      <c r="D934" s="134"/>
      <c r="E934" s="135"/>
      <c r="F934" s="9"/>
      <c r="G934" s="9"/>
      <c r="H934" s="9"/>
      <c r="I934" s="9"/>
      <c r="J934" s="9"/>
      <c r="K934" s="9"/>
      <c r="L934" s="9"/>
      <c r="M934" s="9"/>
      <c r="N934" s="9"/>
      <c r="O934" s="9"/>
      <c r="P934" s="9"/>
      <c r="Q934" s="9"/>
      <c r="R934" s="9"/>
      <c r="S934" s="9"/>
      <c r="T934" s="9"/>
      <c r="U934" s="9"/>
      <c r="V934" s="9"/>
      <c r="W934" s="9"/>
      <c r="X934" s="9"/>
      <c r="Y934" s="9"/>
      <c r="Z934" s="9"/>
    </row>
    <row r="935" ht="15.75" customHeight="1">
      <c r="A935" s="32"/>
      <c r="B935" s="9"/>
      <c r="C935" s="110"/>
      <c r="D935" s="134"/>
      <c r="E935" s="135"/>
      <c r="F935" s="9"/>
      <c r="G935" s="9"/>
      <c r="H935" s="9"/>
      <c r="I935" s="9"/>
      <c r="J935" s="9"/>
      <c r="K935" s="9"/>
      <c r="L935" s="9"/>
      <c r="M935" s="9"/>
      <c r="N935" s="9"/>
      <c r="O935" s="9"/>
      <c r="P935" s="9"/>
      <c r="Q935" s="9"/>
      <c r="R935" s="9"/>
      <c r="S935" s="9"/>
      <c r="T935" s="9"/>
      <c r="U935" s="9"/>
      <c r="V935" s="9"/>
      <c r="W935" s="9"/>
      <c r="X935" s="9"/>
      <c r="Y935" s="9"/>
      <c r="Z935" s="9"/>
    </row>
    <row r="936" ht="15.75" customHeight="1">
      <c r="A936" s="32"/>
      <c r="B936" s="9"/>
      <c r="C936" s="110"/>
      <c r="D936" s="134"/>
      <c r="E936" s="135"/>
      <c r="F936" s="9"/>
      <c r="G936" s="9"/>
      <c r="H936" s="9"/>
      <c r="I936" s="9"/>
      <c r="J936" s="9"/>
      <c r="K936" s="9"/>
      <c r="L936" s="9"/>
      <c r="M936" s="9"/>
      <c r="N936" s="9"/>
      <c r="O936" s="9"/>
      <c r="P936" s="9"/>
      <c r="Q936" s="9"/>
      <c r="R936" s="9"/>
      <c r="S936" s="9"/>
      <c r="T936" s="9"/>
      <c r="U936" s="9"/>
      <c r="V936" s="9"/>
      <c r="W936" s="9"/>
      <c r="X936" s="9"/>
      <c r="Y936" s="9"/>
      <c r="Z936" s="9"/>
    </row>
    <row r="937" ht="15.75" customHeight="1">
      <c r="A937" s="32"/>
      <c r="B937" s="9"/>
      <c r="C937" s="110"/>
      <c r="D937" s="134"/>
      <c r="E937" s="135"/>
      <c r="F937" s="9"/>
      <c r="G937" s="9"/>
      <c r="H937" s="9"/>
      <c r="I937" s="9"/>
      <c r="J937" s="9"/>
      <c r="K937" s="9"/>
      <c r="L937" s="9"/>
      <c r="M937" s="9"/>
      <c r="N937" s="9"/>
      <c r="O937" s="9"/>
      <c r="P937" s="9"/>
      <c r="Q937" s="9"/>
      <c r="R937" s="9"/>
      <c r="S937" s="9"/>
      <c r="T937" s="9"/>
      <c r="U937" s="9"/>
      <c r="V937" s="9"/>
      <c r="W937" s="9"/>
      <c r="X937" s="9"/>
      <c r="Y937" s="9"/>
      <c r="Z937" s="9"/>
    </row>
    <row r="938" ht="15.75" customHeight="1">
      <c r="A938" s="32"/>
      <c r="B938" s="9"/>
      <c r="C938" s="110"/>
      <c r="D938" s="134"/>
      <c r="E938" s="135"/>
      <c r="F938" s="9"/>
      <c r="G938" s="9"/>
      <c r="H938" s="9"/>
      <c r="I938" s="9"/>
      <c r="J938" s="9"/>
      <c r="K938" s="9"/>
      <c r="L938" s="9"/>
      <c r="M938" s="9"/>
      <c r="N938" s="9"/>
      <c r="O938" s="9"/>
      <c r="P938" s="9"/>
      <c r="Q938" s="9"/>
      <c r="R938" s="9"/>
      <c r="S938" s="9"/>
      <c r="T938" s="9"/>
      <c r="U938" s="9"/>
      <c r="V938" s="9"/>
      <c r="W938" s="9"/>
      <c r="X938" s="9"/>
      <c r="Y938" s="9"/>
      <c r="Z938" s="9"/>
    </row>
    <row r="939" ht="15.75" customHeight="1">
      <c r="A939" s="32"/>
      <c r="B939" s="9"/>
      <c r="C939" s="110"/>
      <c r="D939" s="134"/>
      <c r="E939" s="135"/>
      <c r="F939" s="9"/>
      <c r="G939" s="9"/>
      <c r="H939" s="9"/>
      <c r="I939" s="9"/>
      <c r="J939" s="9"/>
      <c r="K939" s="9"/>
      <c r="L939" s="9"/>
      <c r="M939" s="9"/>
      <c r="N939" s="9"/>
      <c r="O939" s="9"/>
      <c r="P939" s="9"/>
      <c r="Q939" s="9"/>
      <c r="R939" s="9"/>
      <c r="S939" s="9"/>
      <c r="T939" s="9"/>
      <c r="U939" s="9"/>
      <c r="V939" s="9"/>
      <c r="W939" s="9"/>
      <c r="X939" s="9"/>
      <c r="Y939" s="9"/>
      <c r="Z939" s="9"/>
    </row>
    <row r="940" ht="15.75" customHeight="1">
      <c r="A940" s="32"/>
      <c r="B940" s="9"/>
      <c r="C940" s="110"/>
      <c r="D940" s="134"/>
      <c r="E940" s="135"/>
      <c r="F940" s="9"/>
      <c r="G940" s="9"/>
      <c r="H940" s="9"/>
      <c r="I940" s="9"/>
      <c r="J940" s="9"/>
      <c r="K940" s="9"/>
      <c r="L940" s="9"/>
      <c r="M940" s="9"/>
      <c r="N940" s="9"/>
      <c r="O940" s="9"/>
      <c r="P940" s="9"/>
      <c r="Q940" s="9"/>
      <c r="R940" s="9"/>
      <c r="S940" s="9"/>
      <c r="T940" s="9"/>
      <c r="U940" s="9"/>
      <c r="V940" s="9"/>
      <c r="W940" s="9"/>
      <c r="X940" s="9"/>
      <c r="Y940" s="9"/>
      <c r="Z940" s="9"/>
    </row>
    <row r="941" ht="15.75" customHeight="1">
      <c r="A941" s="32"/>
      <c r="B941" s="9"/>
      <c r="C941" s="110"/>
      <c r="D941" s="134"/>
      <c r="E941" s="135"/>
      <c r="F941" s="9"/>
      <c r="G941" s="9"/>
      <c r="H941" s="9"/>
      <c r="I941" s="9"/>
      <c r="J941" s="9"/>
      <c r="K941" s="9"/>
      <c r="L941" s="9"/>
      <c r="M941" s="9"/>
      <c r="N941" s="9"/>
      <c r="O941" s="9"/>
      <c r="P941" s="9"/>
      <c r="Q941" s="9"/>
      <c r="R941" s="9"/>
      <c r="S941" s="9"/>
      <c r="T941" s="9"/>
      <c r="U941" s="9"/>
      <c r="V941" s="9"/>
      <c r="W941" s="9"/>
      <c r="X941" s="9"/>
      <c r="Y941" s="9"/>
      <c r="Z941" s="9"/>
    </row>
    <row r="942" ht="15.75" customHeight="1">
      <c r="A942" s="32"/>
      <c r="B942" s="9"/>
      <c r="C942" s="110"/>
      <c r="D942" s="134"/>
      <c r="E942" s="135"/>
      <c r="F942" s="9"/>
      <c r="G942" s="9"/>
      <c r="H942" s="9"/>
      <c r="I942" s="9"/>
      <c r="J942" s="9"/>
      <c r="K942" s="9"/>
      <c r="L942" s="9"/>
      <c r="M942" s="9"/>
      <c r="N942" s="9"/>
      <c r="O942" s="9"/>
      <c r="P942" s="9"/>
      <c r="Q942" s="9"/>
      <c r="R942" s="9"/>
      <c r="S942" s="9"/>
      <c r="T942" s="9"/>
      <c r="U942" s="9"/>
      <c r="V942" s="9"/>
      <c r="W942" s="9"/>
      <c r="X942" s="9"/>
      <c r="Y942" s="9"/>
      <c r="Z942" s="9"/>
    </row>
    <row r="943" ht="15.75" customHeight="1">
      <c r="A943" s="32"/>
      <c r="B943" s="9"/>
      <c r="C943" s="110"/>
      <c r="D943" s="134"/>
      <c r="E943" s="135"/>
      <c r="F943" s="9"/>
      <c r="G943" s="9"/>
      <c r="H943" s="9"/>
      <c r="I943" s="9"/>
      <c r="J943" s="9"/>
      <c r="K943" s="9"/>
      <c r="L943" s="9"/>
      <c r="M943" s="9"/>
      <c r="N943" s="9"/>
      <c r="O943" s="9"/>
      <c r="P943" s="9"/>
      <c r="Q943" s="9"/>
      <c r="R943" s="9"/>
      <c r="S943" s="9"/>
      <c r="T943" s="9"/>
      <c r="U943" s="9"/>
      <c r="V943" s="9"/>
      <c r="W943" s="9"/>
      <c r="X943" s="9"/>
      <c r="Y943" s="9"/>
      <c r="Z943" s="9"/>
    </row>
    <row r="944" ht="15.75" customHeight="1">
      <c r="A944" s="32"/>
      <c r="B944" s="9"/>
      <c r="C944" s="110"/>
      <c r="D944" s="134"/>
      <c r="E944" s="135"/>
      <c r="F944" s="9"/>
      <c r="G944" s="9"/>
      <c r="H944" s="9"/>
      <c r="I944" s="9"/>
      <c r="J944" s="9"/>
      <c r="K944" s="9"/>
      <c r="L944" s="9"/>
      <c r="M944" s="9"/>
      <c r="N944" s="9"/>
      <c r="O944" s="9"/>
      <c r="P944" s="9"/>
      <c r="Q944" s="9"/>
      <c r="R944" s="9"/>
      <c r="S944" s="9"/>
      <c r="T944" s="9"/>
      <c r="U944" s="9"/>
      <c r="V944" s="9"/>
      <c r="W944" s="9"/>
      <c r="X944" s="9"/>
      <c r="Y944" s="9"/>
      <c r="Z944" s="9"/>
    </row>
    <row r="945" ht="15.75" customHeight="1">
      <c r="A945" s="32"/>
      <c r="B945" s="9"/>
      <c r="C945" s="110"/>
      <c r="D945" s="134"/>
      <c r="E945" s="135"/>
      <c r="F945" s="9"/>
      <c r="G945" s="9"/>
      <c r="H945" s="9"/>
      <c r="I945" s="9"/>
      <c r="J945" s="9"/>
      <c r="K945" s="9"/>
      <c r="L945" s="9"/>
      <c r="M945" s="9"/>
      <c r="N945" s="9"/>
      <c r="O945" s="9"/>
      <c r="P945" s="9"/>
      <c r="Q945" s="9"/>
      <c r="R945" s="9"/>
      <c r="S945" s="9"/>
      <c r="T945" s="9"/>
      <c r="U945" s="9"/>
      <c r="V945" s="9"/>
      <c r="W945" s="9"/>
      <c r="X945" s="9"/>
      <c r="Y945" s="9"/>
      <c r="Z945" s="9"/>
    </row>
    <row r="946" ht="15.75" customHeight="1">
      <c r="A946" s="32"/>
      <c r="B946" s="9"/>
      <c r="C946" s="110"/>
      <c r="D946" s="134"/>
      <c r="E946" s="135"/>
      <c r="F946" s="9"/>
      <c r="G946" s="9"/>
      <c r="H946" s="9"/>
      <c r="I946" s="9"/>
      <c r="J946" s="9"/>
      <c r="K946" s="9"/>
      <c r="L946" s="9"/>
      <c r="M946" s="9"/>
      <c r="N946" s="9"/>
      <c r="O946" s="9"/>
      <c r="P946" s="9"/>
      <c r="Q946" s="9"/>
      <c r="R946" s="9"/>
      <c r="S946" s="9"/>
      <c r="T946" s="9"/>
      <c r="U946" s="9"/>
      <c r="V946" s="9"/>
      <c r="W946" s="9"/>
      <c r="X946" s="9"/>
      <c r="Y946" s="9"/>
      <c r="Z946" s="9"/>
    </row>
    <row r="947" ht="15.75" customHeight="1">
      <c r="A947" s="32"/>
      <c r="B947" s="9"/>
      <c r="C947" s="110"/>
      <c r="D947" s="134"/>
      <c r="E947" s="135"/>
      <c r="F947" s="9"/>
      <c r="G947" s="9"/>
      <c r="H947" s="9"/>
      <c r="I947" s="9"/>
      <c r="J947" s="9"/>
      <c r="K947" s="9"/>
      <c r="L947" s="9"/>
      <c r="M947" s="9"/>
      <c r="N947" s="9"/>
      <c r="O947" s="9"/>
      <c r="P947" s="9"/>
      <c r="Q947" s="9"/>
      <c r="R947" s="9"/>
      <c r="S947" s="9"/>
      <c r="T947" s="9"/>
      <c r="U947" s="9"/>
      <c r="V947" s="9"/>
      <c r="W947" s="9"/>
      <c r="X947" s="9"/>
      <c r="Y947" s="9"/>
      <c r="Z947" s="9"/>
    </row>
    <row r="948" ht="15.75" customHeight="1">
      <c r="A948" s="32"/>
      <c r="B948" s="9"/>
      <c r="C948" s="110"/>
      <c r="D948" s="134"/>
      <c r="E948" s="135"/>
      <c r="F948" s="9"/>
      <c r="G948" s="9"/>
      <c r="H948" s="9"/>
      <c r="I948" s="9"/>
      <c r="J948" s="9"/>
      <c r="K948" s="9"/>
      <c r="L948" s="9"/>
      <c r="M948" s="9"/>
      <c r="N948" s="9"/>
      <c r="O948" s="9"/>
      <c r="P948" s="9"/>
      <c r="Q948" s="9"/>
      <c r="R948" s="9"/>
      <c r="S948" s="9"/>
      <c r="T948" s="9"/>
      <c r="U948" s="9"/>
      <c r="V948" s="9"/>
      <c r="W948" s="9"/>
      <c r="X948" s="9"/>
      <c r="Y948" s="9"/>
      <c r="Z948" s="9"/>
    </row>
    <row r="949" ht="15.75" customHeight="1">
      <c r="A949" s="32"/>
      <c r="B949" s="9"/>
      <c r="C949" s="110"/>
      <c r="D949" s="134"/>
      <c r="E949" s="135"/>
      <c r="F949" s="9"/>
      <c r="G949" s="9"/>
      <c r="H949" s="9"/>
      <c r="I949" s="9"/>
      <c r="J949" s="9"/>
      <c r="K949" s="9"/>
      <c r="L949" s="9"/>
      <c r="M949" s="9"/>
      <c r="N949" s="9"/>
      <c r="O949" s="9"/>
      <c r="P949" s="9"/>
      <c r="Q949" s="9"/>
      <c r="R949" s="9"/>
      <c r="S949" s="9"/>
      <c r="T949" s="9"/>
      <c r="U949" s="9"/>
      <c r="V949" s="9"/>
      <c r="W949" s="9"/>
      <c r="X949" s="9"/>
      <c r="Y949" s="9"/>
      <c r="Z949" s="9"/>
    </row>
    <row r="950" ht="15.75" customHeight="1">
      <c r="A950" s="32"/>
      <c r="B950" s="9"/>
      <c r="C950" s="110"/>
      <c r="D950" s="134"/>
      <c r="E950" s="135"/>
      <c r="F950" s="9"/>
      <c r="G950" s="9"/>
      <c r="H950" s="9"/>
      <c r="I950" s="9"/>
      <c r="J950" s="9"/>
      <c r="K950" s="9"/>
      <c r="L950" s="9"/>
      <c r="M950" s="9"/>
      <c r="N950" s="9"/>
      <c r="O950" s="9"/>
      <c r="P950" s="9"/>
      <c r="Q950" s="9"/>
      <c r="R950" s="9"/>
      <c r="S950" s="9"/>
      <c r="T950" s="9"/>
      <c r="U950" s="9"/>
      <c r="V950" s="9"/>
      <c r="W950" s="9"/>
      <c r="X950" s="9"/>
      <c r="Y950" s="9"/>
      <c r="Z950" s="9"/>
    </row>
    <row r="951" ht="15.75" customHeight="1">
      <c r="A951" s="32"/>
      <c r="B951" s="9"/>
      <c r="C951" s="110"/>
      <c r="D951" s="134"/>
      <c r="E951" s="135"/>
      <c r="F951" s="9"/>
      <c r="G951" s="9"/>
      <c r="H951" s="9"/>
      <c r="I951" s="9"/>
      <c r="J951" s="9"/>
      <c r="K951" s="9"/>
      <c r="L951" s="9"/>
      <c r="M951" s="9"/>
      <c r="N951" s="9"/>
      <c r="O951" s="9"/>
      <c r="P951" s="9"/>
      <c r="Q951" s="9"/>
      <c r="R951" s="9"/>
      <c r="S951" s="9"/>
      <c r="T951" s="9"/>
      <c r="U951" s="9"/>
      <c r="V951" s="9"/>
      <c r="W951" s="9"/>
      <c r="X951" s="9"/>
      <c r="Y951" s="9"/>
      <c r="Z951" s="9"/>
    </row>
    <row r="952" ht="15.75" customHeight="1">
      <c r="A952" s="32"/>
      <c r="B952" s="9"/>
      <c r="C952" s="110"/>
      <c r="D952" s="134"/>
      <c r="E952" s="135"/>
      <c r="F952" s="9"/>
      <c r="G952" s="9"/>
      <c r="H952" s="9"/>
      <c r="I952" s="9"/>
      <c r="J952" s="9"/>
      <c r="K952" s="9"/>
      <c r="L952" s="9"/>
      <c r="M952" s="9"/>
      <c r="N952" s="9"/>
      <c r="O952" s="9"/>
      <c r="P952" s="9"/>
      <c r="Q952" s="9"/>
      <c r="R952" s="9"/>
      <c r="S952" s="9"/>
      <c r="T952" s="9"/>
      <c r="U952" s="9"/>
      <c r="V952" s="9"/>
      <c r="W952" s="9"/>
      <c r="X952" s="9"/>
      <c r="Y952" s="9"/>
      <c r="Z952" s="9"/>
    </row>
    <row r="953" ht="15.75" customHeight="1">
      <c r="A953" s="32"/>
      <c r="B953" s="9"/>
      <c r="C953" s="110"/>
      <c r="D953" s="134"/>
      <c r="E953" s="135"/>
      <c r="F953" s="9"/>
      <c r="G953" s="9"/>
      <c r="H953" s="9"/>
      <c r="I953" s="9"/>
      <c r="J953" s="9"/>
      <c r="K953" s="9"/>
      <c r="L953" s="9"/>
      <c r="M953" s="9"/>
      <c r="N953" s="9"/>
      <c r="O953" s="9"/>
      <c r="P953" s="9"/>
      <c r="Q953" s="9"/>
      <c r="R953" s="9"/>
      <c r="S953" s="9"/>
      <c r="T953" s="9"/>
      <c r="U953" s="9"/>
      <c r="V953" s="9"/>
      <c r="W953" s="9"/>
      <c r="X953" s="9"/>
      <c r="Y953" s="9"/>
      <c r="Z953" s="9"/>
    </row>
    <row r="954" ht="15.75" customHeight="1">
      <c r="A954" s="32"/>
      <c r="B954" s="9"/>
      <c r="C954" s="110"/>
      <c r="D954" s="134"/>
      <c r="E954" s="135"/>
      <c r="F954" s="9"/>
      <c r="G954" s="9"/>
      <c r="H954" s="9"/>
      <c r="I954" s="9"/>
      <c r="J954" s="9"/>
      <c r="K954" s="9"/>
      <c r="L954" s="9"/>
      <c r="M954" s="9"/>
      <c r="N954" s="9"/>
      <c r="O954" s="9"/>
      <c r="P954" s="9"/>
      <c r="Q954" s="9"/>
      <c r="R954" s="9"/>
      <c r="S954" s="9"/>
      <c r="T954" s="9"/>
      <c r="U954" s="9"/>
      <c r="V954" s="9"/>
      <c r="W954" s="9"/>
      <c r="X954" s="9"/>
      <c r="Y954" s="9"/>
      <c r="Z954" s="9"/>
    </row>
    <row r="955" ht="15.75" customHeight="1">
      <c r="A955" s="32"/>
      <c r="B955" s="9"/>
      <c r="C955" s="110"/>
      <c r="D955" s="134"/>
      <c r="E955" s="135"/>
      <c r="F955" s="9"/>
      <c r="G955" s="9"/>
      <c r="H955" s="9"/>
      <c r="I955" s="9"/>
      <c r="J955" s="9"/>
      <c r="K955" s="9"/>
      <c r="L955" s="9"/>
      <c r="M955" s="9"/>
      <c r="N955" s="9"/>
      <c r="O955" s="9"/>
      <c r="P955" s="9"/>
      <c r="Q955" s="9"/>
      <c r="R955" s="9"/>
      <c r="S955" s="9"/>
      <c r="T955" s="9"/>
      <c r="U955" s="9"/>
      <c r="V955" s="9"/>
      <c r="W955" s="9"/>
      <c r="X955" s="9"/>
      <c r="Y955" s="9"/>
      <c r="Z955" s="9"/>
    </row>
    <row r="956" ht="15.75" customHeight="1">
      <c r="A956" s="32"/>
      <c r="B956" s="9"/>
      <c r="C956" s="110"/>
      <c r="D956" s="134"/>
      <c r="E956" s="135"/>
      <c r="F956" s="9"/>
      <c r="G956" s="9"/>
      <c r="H956" s="9"/>
      <c r="I956" s="9"/>
      <c r="J956" s="9"/>
      <c r="K956" s="9"/>
      <c r="L956" s="9"/>
      <c r="M956" s="9"/>
      <c r="N956" s="9"/>
      <c r="O956" s="9"/>
      <c r="P956" s="9"/>
      <c r="Q956" s="9"/>
      <c r="R956" s="9"/>
      <c r="S956" s="9"/>
      <c r="T956" s="9"/>
      <c r="U956" s="9"/>
      <c r="V956" s="9"/>
      <c r="W956" s="9"/>
      <c r="X956" s="9"/>
      <c r="Y956" s="9"/>
      <c r="Z956" s="9"/>
    </row>
    <row r="957" ht="15.75" customHeight="1">
      <c r="A957" s="32"/>
      <c r="B957" s="9"/>
      <c r="C957" s="110"/>
      <c r="D957" s="134"/>
      <c r="E957" s="135"/>
      <c r="F957" s="9"/>
      <c r="G957" s="9"/>
      <c r="H957" s="9"/>
      <c r="I957" s="9"/>
      <c r="J957" s="9"/>
      <c r="K957" s="9"/>
      <c r="L957" s="9"/>
      <c r="M957" s="9"/>
      <c r="N957" s="9"/>
      <c r="O957" s="9"/>
      <c r="P957" s="9"/>
      <c r="Q957" s="9"/>
      <c r="R957" s="9"/>
      <c r="S957" s="9"/>
      <c r="T957" s="9"/>
      <c r="U957" s="9"/>
      <c r="V957" s="9"/>
      <c r="W957" s="9"/>
      <c r="X957" s="9"/>
      <c r="Y957" s="9"/>
      <c r="Z957" s="9"/>
    </row>
    <row r="958" ht="15.75" customHeight="1">
      <c r="A958" s="32"/>
      <c r="B958" s="9"/>
      <c r="C958" s="110"/>
      <c r="D958" s="134"/>
      <c r="E958" s="135"/>
      <c r="F958" s="9"/>
      <c r="G958" s="9"/>
      <c r="H958" s="9"/>
      <c r="I958" s="9"/>
      <c r="J958" s="9"/>
      <c r="K958" s="9"/>
      <c r="L958" s="9"/>
      <c r="M958" s="9"/>
      <c r="N958" s="9"/>
      <c r="O958" s="9"/>
      <c r="P958" s="9"/>
      <c r="Q958" s="9"/>
      <c r="R958" s="9"/>
      <c r="S958" s="9"/>
      <c r="T958" s="9"/>
      <c r="U958" s="9"/>
      <c r="V958" s="9"/>
      <c r="W958" s="9"/>
      <c r="X958" s="9"/>
      <c r="Y958" s="9"/>
      <c r="Z958" s="9"/>
    </row>
    <row r="959" ht="15.75" customHeight="1">
      <c r="A959" s="32"/>
      <c r="B959" s="9"/>
      <c r="C959" s="110"/>
      <c r="D959" s="134"/>
      <c r="E959" s="135"/>
      <c r="F959" s="9"/>
      <c r="G959" s="9"/>
      <c r="H959" s="9"/>
      <c r="I959" s="9"/>
      <c r="J959" s="9"/>
      <c r="K959" s="9"/>
      <c r="L959" s="9"/>
      <c r="M959" s="9"/>
      <c r="N959" s="9"/>
      <c r="O959" s="9"/>
      <c r="P959" s="9"/>
      <c r="Q959" s="9"/>
      <c r="R959" s="9"/>
      <c r="S959" s="9"/>
      <c r="T959" s="9"/>
      <c r="U959" s="9"/>
      <c r="V959" s="9"/>
      <c r="W959" s="9"/>
      <c r="X959" s="9"/>
      <c r="Y959" s="9"/>
      <c r="Z959" s="9"/>
    </row>
    <row r="960" ht="15.75" customHeight="1">
      <c r="A960" s="32"/>
      <c r="B960" s="9"/>
      <c r="C960" s="110"/>
      <c r="D960" s="134"/>
      <c r="E960" s="135"/>
      <c r="F960" s="9"/>
      <c r="G960" s="9"/>
      <c r="H960" s="9"/>
      <c r="I960" s="9"/>
      <c r="J960" s="9"/>
      <c r="K960" s="9"/>
      <c r="L960" s="9"/>
      <c r="M960" s="9"/>
      <c r="N960" s="9"/>
      <c r="O960" s="9"/>
      <c r="P960" s="9"/>
      <c r="Q960" s="9"/>
      <c r="R960" s="9"/>
      <c r="S960" s="9"/>
      <c r="T960" s="9"/>
      <c r="U960" s="9"/>
      <c r="V960" s="9"/>
      <c r="W960" s="9"/>
      <c r="X960" s="9"/>
      <c r="Y960" s="9"/>
      <c r="Z960" s="9"/>
    </row>
    <row r="961" ht="15.75" customHeight="1">
      <c r="A961" s="32"/>
      <c r="B961" s="9"/>
      <c r="C961" s="110"/>
      <c r="D961" s="134"/>
      <c r="E961" s="135"/>
      <c r="F961" s="9"/>
      <c r="G961" s="9"/>
      <c r="H961" s="9"/>
      <c r="I961" s="9"/>
      <c r="J961" s="9"/>
      <c r="K961" s="9"/>
      <c r="L961" s="9"/>
      <c r="M961" s="9"/>
      <c r="N961" s="9"/>
      <c r="O961" s="9"/>
      <c r="P961" s="9"/>
      <c r="Q961" s="9"/>
      <c r="R961" s="9"/>
      <c r="S961" s="9"/>
      <c r="T961" s="9"/>
      <c r="U961" s="9"/>
      <c r="V961" s="9"/>
      <c r="W961" s="9"/>
      <c r="X961" s="9"/>
      <c r="Y961" s="9"/>
      <c r="Z961" s="9"/>
    </row>
    <row r="962" ht="15.75" customHeight="1">
      <c r="A962" s="32"/>
      <c r="B962" s="9"/>
      <c r="C962" s="110"/>
      <c r="D962" s="134"/>
      <c r="E962" s="135"/>
      <c r="F962" s="9"/>
      <c r="G962" s="9"/>
      <c r="H962" s="9"/>
      <c r="I962" s="9"/>
      <c r="J962" s="9"/>
      <c r="K962" s="9"/>
      <c r="L962" s="9"/>
      <c r="M962" s="9"/>
      <c r="N962" s="9"/>
      <c r="O962" s="9"/>
      <c r="P962" s="9"/>
      <c r="Q962" s="9"/>
      <c r="R962" s="9"/>
      <c r="S962" s="9"/>
      <c r="T962" s="9"/>
      <c r="U962" s="9"/>
      <c r="V962" s="9"/>
      <c r="W962" s="9"/>
      <c r="X962" s="9"/>
      <c r="Y962" s="9"/>
      <c r="Z962" s="9"/>
    </row>
    <row r="963" ht="15.75" customHeight="1">
      <c r="A963" s="32"/>
      <c r="B963" s="9"/>
      <c r="C963" s="110"/>
      <c r="D963" s="134"/>
      <c r="E963" s="135"/>
      <c r="F963" s="9"/>
      <c r="G963" s="9"/>
      <c r="H963" s="9"/>
      <c r="I963" s="9"/>
      <c r="J963" s="9"/>
      <c r="K963" s="9"/>
      <c r="L963" s="9"/>
      <c r="M963" s="9"/>
      <c r="N963" s="9"/>
      <c r="O963" s="9"/>
      <c r="P963" s="9"/>
      <c r="Q963" s="9"/>
      <c r="R963" s="9"/>
      <c r="S963" s="9"/>
      <c r="T963" s="9"/>
      <c r="U963" s="9"/>
      <c r="V963" s="9"/>
      <c r="W963" s="9"/>
      <c r="X963" s="9"/>
      <c r="Y963" s="9"/>
      <c r="Z963" s="9"/>
    </row>
    <row r="964" ht="15.75" customHeight="1">
      <c r="A964" s="32"/>
      <c r="B964" s="9"/>
      <c r="C964" s="110"/>
      <c r="D964" s="134"/>
      <c r="E964" s="135"/>
      <c r="F964" s="9"/>
      <c r="G964" s="9"/>
      <c r="H964" s="9"/>
      <c r="I964" s="9"/>
      <c r="J964" s="9"/>
      <c r="K964" s="9"/>
      <c r="L964" s="9"/>
      <c r="M964" s="9"/>
      <c r="N964" s="9"/>
      <c r="O964" s="9"/>
      <c r="P964" s="9"/>
      <c r="Q964" s="9"/>
      <c r="R964" s="9"/>
      <c r="S964" s="9"/>
      <c r="T964" s="9"/>
      <c r="U964" s="9"/>
      <c r="V964" s="9"/>
      <c r="W964" s="9"/>
      <c r="X964" s="9"/>
      <c r="Y964" s="9"/>
      <c r="Z964" s="9"/>
    </row>
    <row r="965" ht="15.75" customHeight="1">
      <c r="A965" s="32"/>
      <c r="B965" s="9"/>
      <c r="C965" s="110"/>
      <c r="D965" s="134"/>
      <c r="E965" s="135"/>
      <c r="F965" s="9"/>
      <c r="G965" s="9"/>
      <c r="H965" s="9"/>
      <c r="I965" s="9"/>
      <c r="J965" s="9"/>
      <c r="K965" s="9"/>
      <c r="L965" s="9"/>
      <c r="M965" s="9"/>
      <c r="N965" s="9"/>
      <c r="O965" s="9"/>
      <c r="P965" s="9"/>
      <c r="Q965" s="9"/>
      <c r="R965" s="9"/>
      <c r="S965" s="9"/>
      <c r="T965" s="9"/>
      <c r="U965" s="9"/>
      <c r="V965" s="9"/>
      <c r="W965" s="9"/>
      <c r="X965" s="9"/>
      <c r="Y965" s="9"/>
      <c r="Z965" s="9"/>
    </row>
    <row r="966" ht="15.75" customHeight="1">
      <c r="A966" s="32"/>
      <c r="B966" s="9"/>
      <c r="C966" s="110"/>
      <c r="D966" s="134"/>
      <c r="E966" s="135"/>
      <c r="F966" s="9"/>
      <c r="G966" s="9"/>
      <c r="H966" s="9"/>
      <c r="I966" s="9"/>
      <c r="J966" s="9"/>
      <c r="K966" s="9"/>
      <c r="L966" s="9"/>
      <c r="M966" s="9"/>
      <c r="N966" s="9"/>
      <c r="O966" s="9"/>
      <c r="P966" s="9"/>
      <c r="Q966" s="9"/>
      <c r="R966" s="9"/>
      <c r="S966" s="9"/>
      <c r="T966" s="9"/>
      <c r="U966" s="9"/>
      <c r="V966" s="9"/>
      <c r="W966" s="9"/>
      <c r="X966" s="9"/>
      <c r="Y966" s="9"/>
      <c r="Z966" s="9"/>
    </row>
    <row r="967" ht="15.75" customHeight="1">
      <c r="A967" s="32"/>
      <c r="B967" s="9"/>
      <c r="C967" s="110"/>
      <c r="D967" s="134"/>
      <c r="E967" s="135"/>
      <c r="F967" s="9"/>
      <c r="G967" s="9"/>
      <c r="H967" s="9"/>
      <c r="I967" s="9"/>
      <c r="J967" s="9"/>
      <c r="K967" s="9"/>
      <c r="L967" s="9"/>
      <c r="M967" s="9"/>
      <c r="N967" s="9"/>
      <c r="O967" s="9"/>
      <c r="P967" s="9"/>
      <c r="Q967" s="9"/>
      <c r="R967" s="9"/>
      <c r="S967" s="9"/>
      <c r="T967" s="9"/>
      <c r="U967" s="9"/>
      <c r="V967" s="9"/>
      <c r="W967" s="9"/>
      <c r="X967" s="9"/>
      <c r="Y967" s="9"/>
      <c r="Z967" s="9"/>
    </row>
    <row r="968" ht="15.75" customHeight="1">
      <c r="A968" s="32"/>
      <c r="B968" s="9"/>
      <c r="C968" s="110"/>
      <c r="D968" s="134"/>
      <c r="E968" s="135"/>
      <c r="F968" s="9"/>
      <c r="G968" s="9"/>
      <c r="H968" s="9"/>
      <c r="I968" s="9"/>
      <c r="J968" s="9"/>
      <c r="K968" s="9"/>
      <c r="L968" s="9"/>
      <c r="M968" s="9"/>
      <c r="N968" s="9"/>
      <c r="O968" s="9"/>
      <c r="P968" s="9"/>
      <c r="Q968" s="9"/>
      <c r="R968" s="9"/>
      <c r="S968" s="9"/>
      <c r="T968" s="9"/>
      <c r="U968" s="9"/>
      <c r="V968" s="9"/>
      <c r="W968" s="9"/>
      <c r="X968" s="9"/>
      <c r="Y968" s="9"/>
      <c r="Z968" s="9"/>
    </row>
    <row r="969" ht="15.75" customHeight="1">
      <c r="A969" s="32"/>
      <c r="B969" s="9"/>
      <c r="C969" s="110"/>
      <c r="D969" s="134"/>
      <c r="E969" s="135"/>
      <c r="F969" s="9"/>
      <c r="G969" s="9"/>
      <c r="H969" s="9"/>
      <c r="I969" s="9"/>
      <c r="J969" s="9"/>
      <c r="K969" s="9"/>
      <c r="L969" s="9"/>
      <c r="M969" s="9"/>
      <c r="N969" s="9"/>
      <c r="O969" s="9"/>
      <c r="P969" s="9"/>
      <c r="Q969" s="9"/>
      <c r="R969" s="9"/>
      <c r="S969" s="9"/>
      <c r="T969" s="9"/>
      <c r="U969" s="9"/>
      <c r="V969" s="9"/>
      <c r="W969" s="9"/>
      <c r="X969" s="9"/>
      <c r="Y969" s="9"/>
      <c r="Z969" s="9"/>
    </row>
    <row r="970" ht="15.75" customHeight="1">
      <c r="A970" s="32"/>
      <c r="B970" s="9"/>
      <c r="C970" s="110"/>
      <c r="D970" s="134"/>
      <c r="E970" s="135"/>
      <c r="F970" s="9"/>
      <c r="G970" s="9"/>
      <c r="H970" s="9"/>
      <c r="I970" s="9"/>
      <c r="J970" s="9"/>
      <c r="K970" s="9"/>
      <c r="L970" s="9"/>
      <c r="M970" s="9"/>
      <c r="N970" s="9"/>
      <c r="O970" s="9"/>
      <c r="P970" s="9"/>
      <c r="Q970" s="9"/>
      <c r="R970" s="9"/>
      <c r="S970" s="9"/>
      <c r="T970" s="9"/>
      <c r="U970" s="9"/>
      <c r="V970" s="9"/>
      <c r="W970" s="9"/>
      <c r="X970" s="9"/>
      <c r="Y970" s="9"/>
      <c r="Z970" s="9"/>
    </row>
    <row r="971" ht="15.75" customHeight="1">
      <c r="A971" s="32"/>
      <c r="B971" s="9"/>
      <c r="C971" s="110"/>
      <c r="D971" s="134"/>
      <c r="E971" s="135"/>
      <c r="F971" s="9"/>
      <c r="G971" s="9"/>
      <c r="H971" s="9"/>
      <c r="I971" s="9"/>
      <c r="J971" s="9"/>
      <c r="K971" s="9"/>
      <c r="L971" s="9"/>
      <c r="M971" s="9"/>
      <c r="N971" s="9"/>
      <c r="O971" s="9"/>
      <c r="P971" s="9"/>
      <c r="Q971" s="9"/>
      <c r="R971" s="9"/>
      <c r="S971" s="9"/>
      <c r="T971" s="9"/>
      <c r="U971" s="9"/>
      <c r="V971" s="9"/>
      <c r="W971" s="9"/>
      <c r="X971" s="9"/>
      <c r="Y971" s="9"/>
      <c r="Z971" s="9"/>
    </row>
    <row r="972" ht="15.75" customHeight="1">
      <c r="A972" s="32"/>
      <c r="B972" s="9"/>
      <c r="C972" s="110"/>
      <c r="D972" s="134"/>
      <c r="E972" s="135"/>
      <c r="F972" s="9"/>
      <c r="G972" s="9"/>
      <c r="H972" s="9"/>
      <c r="I972" s="9"/>
      <c r="J972" s="9"/>
      <c r="K972" s="9"/>
      <c r="L972" s="9"/>
      <c r="M972" s="9"/>
      <c r="N972" s="9"/>
      <c r="O972" s="9"/>
      <c r="P972" s="9"/>
      <c r="Q972" s="9"/>
      <c r="R972" s="9"/>
      <c r="S972" s="9"/>
      <c r="T972" s="9"/>
      <c r="U972" s="9"/>
      <c r="V972" s="9"/>
      <c r="W972" s="9"/>
      <c r="X972" s="9"/>
      <c r="Y972" s="9"/>
      <c r="Z972" s="9"/>
    </row>
    <row r="973" ht="15.75" customHeight="1">
      <c r="A973" s="32"/>
      <c r="B973" s="9"/>
      <c r="C973" s="110"/>
      <c r="D973" s="134"/>
      <c r="E973" s="135"/>
      <c r="F973" s="9"/>
      <c r="G973" s="9"/>
      <c r="H973" s="9"/>
      <c r="I973" s="9"/>
      <c r="J973" s="9"/>
      <c r="K973" s="9"/>
      <c r="L973" s="9"/>
      <c r="M973" s="9"/>
      <c r="N973" s="9"/>
      <c r="O973" s="9"/>
      <c r="P973" s="9"/>
      <c r="Q973" s="9"/>
      <c r="R973" s="9"/>
      <c r="S973" s="9"/>
      <c r="T973" s="9"/>
      <c r="U973" s="9"/>
      <c r="V973" s="9"/>
      <c r="W973" s="9"/>
      <c r="X973" s="9"/>
      <c r="Y973" s="9"/>
      <c r="Z973" s="9"/>
    </row>
    <row r="974" ht="15.75" customHeight="1">
      <c r="A974" s="32"/>
      <c r="B974" s="9"/>
      <c r="C974" s="110"/>
      <c r="D974" s="134"/>
      <c r="E974" s="135"/>
      <c r="F974" s="9"/>
      <c r="G974" s="9"/>
      <c r="H974" s="9"/>
      <c r="I974" s="9"/>
      <c r="J974" s="9"/>
      <c r="K974" s="9"/>
      <c r="L974" s="9"/>
      <c r="M974" s="9"/>
      <c r="N974" s="9"/>
      <c r="O974" s="9"/>
      <c r="P974" s="9"/>
      <c r="Q974" s="9"/>
      <c r="R974" s="9"/>
      <c r="S974" s="9"/>
      <c r="T974" s="9"/>
      <c r="U974" s="9"/>
      <c r="V974" s="9"/>
      <c r="W974" s="9"/>
      <c r="X974" s="9"/>
      <c r="Y974" s="9"/>
      <c r="Z974" s="9"/>
    </row>
    <row r="975" ht="15.75" customHeight="1">
      <c r="A975" s="32"/>
      <c r="B975" s="9"/>
      <c r="C975" s="110"/>
      <c r="D975" s="134"/>
      <c r="E975" s="135"/>
      <c r="F975" s="9"/>
      <c r="G975" s="9"/>
      <c r="H975" s="9"/>
      <c r="I975" s="9"/>
      <c r="J975" s="9"/>
      <c r="K975" s="9"/>
      <c r="L975" s="9"/>
      <c r="M975" s="9"/>
      <c r="N975" s="9"/>
      <c r="O975" s="9"/>
      <c r="P975" s="9"/>
      <c r="Q975" s="9"/>
      <c r="R975" s="9"/>
      <c r="S975" s="9"/>
      <c r="T975" s="9"/>
      <c r="U975" s="9"/>
      <c r="V975" s="9"/>
      <c r="W975" s="9"/>
      <c r="X975" s="9"/>
      <c r="Y975" s="9"/>
      <c r="Z975" s="9"/>
    </row>
    <row r="976" ht="15.75" customHeight="1">
      <c r="A976" s="32"/>
      <c r="B976" s="9"/>
      <c r="C976" s="110"/>
      <c r="D976" s="134"/>
      <c r="E976" s="135"/>
      <c r="F976" s="9"/>
      <c r="G976" s="9"/>
      <c r="H976" s="9"/>
      <c r="I976" s="9"/>
      <c r="J976" s="9"/>
      <c r="K976" s="9"/>
      <c r="L976" s="9"/>
      <c r="M976" s="9"/>
      <c r="N976" s="9"/>
      <c r="O976" s="9"/>
      <c r="P976" s="9"/>
      <c r="Q976" s="9"/>
      <c r="R976" s="9"/>
      <c r="S976" s="9"/>
      <c r="T976" s="9"/>
      <c r="U976" s="9"/>
      <c r="V976" s="9"/>
      <c r="W976" s="9"/>
      <c r="X976" s="9"/>
      <c r="Y976" s="9"/>
      <c r="Z976" s="9"/>
    </row>
    <row r="977" ht="15.75" customHeight="1">
      <c r="A977" s="32"/>
      <c r="B977" s="9"/>
      <c r="C977" s="110"/>
      <c r="D977" s="134"/>
      <c r="E977" s="135"/>
      <c r="F977" s="9"/>
      <c r="G977" s="9"/>
      <c r="H977" s="9"/>
      <c r="I977" s="9"/>
      <c r="J977" s="9"/>
      <c r="K977" s="9"/>
      <c r="L977" s="9"/>
      <c r="M977" s="9"/>
      <c r="N977" s="9"/>
      <c r="O977" s="9"/>
      <c r="P977" s="9"/>
      <c r="Q977" s="9"/>
      <c r="R977" s="9"/>
      <c r="S977" s="9"/>
      <c r="T977" s="9"/>
      <c r="U977" s="9"/>
      <c r="V977" s="9"/>
      <c r="W977" s="9"/>
      <c r="X977" s="9"/>
      <c r="Y977" s="9"/>
      <c r="Z977" s="9"/>
    </row>
    <row r="978" ht="15.75" customHeight="1">
      <c r="A978" s="32"/>
      <c r="B978" s="9"/>
      <c r="C978" s="110"/>
      <c r="D978" s="134"/>
      <c r="E978" s="135"/>
      <c r="F978" s="9"/>
      <c r="G978" s="9"/>
      <c r="H978" s="9"/>
      <c r="I978" s="9"/>
      <c r="J978" s="9"/>
      <c r="K978" s="9"/>
      <c r="L978" s="9"/>
      <c r="M978" s="9"/>
      <c r="N978" s="9"/>
      <c r="O978" s="9"/>
      <c r="P978" s="9"/>
      <c r="Q978" s="9"/>
      <c r="R978" s="9"/>
      <c r="S978" s="9"/>
      <c r="T978" s="9"/>
      <c r="U978" s="9"/>
      <c r="V978" s="9"/>
      <c r="W978" s="9"/>
      <c r="X978" s="9"/>
      <c r="Y978" s="9"/>
      <c r="Z978" s="9"/>
    </row>
    <row r="979" ht="15.75" customHeight="1">
      <c r="A979" s="32"/>
      <c r="B979" s="9"/>
      <c r="C979" s="110"/>
      <c r="D979" s="134"/>
      <c r="E979" s="135"/>
      <c r="F979" s="9"/>
      <c r="G979" s="9"/>
      <c r="H979" s="9"/>
      <c r="I979" s="9"/>
      <c r="J979" s="9"/>
      <c r="K979" s="9"/>
      <c r="L979" s="9"/>
      <c r="M979" s="9"/>
      <c r="N979" s="9"/>
      <c r="O979" s="9"/>
      <c r="P979" s="9"/>
      <c r="Q979" s="9"/>
      <c r="R979" s="9"/>
      <c r="S979" s="9"/>
      <c r="T979" s="9"/>
      <c r="U979" s="9"/>
      <c r="V979" s="9"/>
      <c r="W979" s="9"/>
      <c r="X979" s="9"/>
      <c r="Y979" s="9"/>
      <c r="Z979" s="9"/>
    </row>
    <row r="980" ht="15.75" customHeight="1">
      <c r="A980" s="32"/>
      <c r="B980" s="9"/>
      <c r="C980" s="110"/>
      <c r="D980" s="134"/>
      <c r="E980" s="135"/>
      <c r="F980" s="9"/>
      <c r="G980" s="9"/>
      <c r="H980" s="9"/>
      <c r="I980" s="9"/>
      <c r="J980" s="9"/>
      <c r="K980" s="9"/>
      <c r="L980" s="9"/>
      <c r="M980" s="9"/>
      <c r="N980" s="9"/>
      <c r="O980" s="9"/>
      <c r="P980" s="9"/>
      <c r="Q980" s="9"/>
      <c r="R980" s="9"/>
      <c r="S980" s="9"/>
      <c r="T980" s="9"/>
      <c r="U980" s="9"/>
      <c r="V980" s="9"/>
      <c r="W980" s="9"/>
      <c r="X980" s="9"/>
      <c r="Y980" s="9"/>
      <c r="Z980" s="9"/>
    </row>
    <row r="981" ht="15.75" customHeight="1">
      <c r="A981" s="32"/>
      <c r="B981" s="9"/>
      <c r="C981" s="110"/>
      <c r="D981" s="134"/>
      <c r="E981" s="135"/>
      <c r="F981" s="9"/>
      <c r="G981" s="9"/>
      <c r="H981" s="9"/>
      <c r="I981" s="9"/>
      <c r="J981" s="9"/>
      <c r="K981" s="9"/>
      <c r="L981" s="9"/>
      <c r="M981" s="9"/>
      <c r="N981" s="9"/>
      <c r="O981" s="9"/>
      <c r="P981" s="9"/>
      <c r="Q981" s="9"/>
      <c r="R981" s="9"/>
      <c r="S981" s="9"/>
      <c r="T981" s="9"/>
      <c r="U981" s="9"/>
      <c r="V981" s="9"/>
      <c r="W981" s="9"/>
      <c r="X981" s="9"/>
      <c r="Y981" s="9"/>
      <c r="Z981" s="9"/>
    </row>
    <row r="982" ht="15.75" customHeight="1">
      <c r="A982" s="32"/>
      <c r="B982" s="9"/>
      <c r="C982" s="110"/>
      <c r="D982" s="134"/>
      <c r="E982" s="135"/>
      <c r="F982" s="9"/>
      <c r="G982" s="9"/>
      <c r="H982" s="9"/>
      <c r="I982" s="9"/>
      <c r="J982" s="9"/>
      <c r="K982" s="9"/>
      <c r="L982" s="9"/>
      <c r="M982" s="9"/>
      <c r="N982" s="9"/>
      <c r="O982" s="9"/>
      <c r="P982" s="9"/>
      <c r="Q982" s="9"/>
      <c r="R982" s="9"/>
      <c r="S982" s="9"/>
      <c r="T982" s="9"/>
      <c r="U982" s="9"/>
      <c r="V982" s="9"/>
      <c r="W982" s="9"/>
      <c r="X982" s="9"/>
      <c r="Y982" s="9"/>
      <c r="Z982" s="9"/>
    </row>
    <row r="983" ht="15.75" customHeight="1">
      <c r="A983" s="32"/>
      <c r="B983" s="9"/>
      <c r="C983" s="110"/>
      <c r="D983" s="134"/>
      <c r="E983" s="135"/>
      <c r="F983" s="9"/>
      <c r="G983" s="9"/>
      <c r="H983" s="9"/>
      <c r="I983" s="9"/>
      <c r="J983" s="9"/>
      <c r="K983" s="9"/>
      <c r="L983" s="9"/>
      <c r="M983" s="9"/>
      <c r="N983" s="9"/>
      <c r="O983" s="9"/>
      <c r="P983" s="9"/>
      <c r="Q983" s="9"/>
      <c r="R983" s="9"/>
      <c r="S983" s="9"/>
      <c r="T983" s="9"/>
      <c r="U983" s="9"/>
      <c r="V983" s="9"/>
      <c r="W983" s="9"/>
      <c r="X983" s="9"/>
      <c r="Y983" s="9"/>
      <c r="Z983" s="9"/>
    </row>
    <row r="984" ht="15.75" customHeight="1">
      <c r="A984" s="32"/>
      <c r="B984" s="9"/>
      <c r="C984" s="110"/>
      <c r="D984" s="134"/>
      <c r="E984" s="135"/>
      <c r="F984" s="9"/>
      <c r="G984" s="9"/>
      <c r="H984" s="9"/>
      <c r="I984" s="9"/>
      <c r="J984" s="9"/>
      <c r="K984" s="9"/>
      <c r="L984" s="9"/>
      <c r="M984" s="9"/>
      <c r="N984" s="9"/>
      <c r="O984" s="9"/>
      <c r="P984" s="9"/>
      <c r="Q984" s="9"/>
      <c r="R984" s="9"/>
      <c r="S984" s="9"/>
      <c r="T984" s="9"/>
      <c r="U984" s="9"/>
      <c r="V984" s="9"/>
      <c r="W984" s="9"/>
      <c r="X984" s="9"/>
      <c r="Y984" s="9"/>
      <c r="Z984" s="9"/>
    </row>
    <row r="985" ht="15.75" customHeight="1">
      <c r="A985" s="32"/>
      <c r="B985" s="9"/>
      <c r="C985" s="110"/>
      <c r="D985" s="134"/>
      <c r="E985" s="135"/>
      <c r="F985" s="9"/>
      <c r="G985" s="9"/>
      <c r="H985" s="9"/>
      <c r="I985" s="9"/>
      <c r="J985" s="9"/>
      <c r="K985" s="9"/>
      <c r="L985" s="9"/>
      <c r="M985" s="9"/>
      <c r="N985" s="9"/>
      <c r="O985" s="9"/>
      <c r="P985" s="9"/>
      <c r="Q985" s="9"/>
      <c r="R985" s="9"/>
      <c r="S985" s="9"/>
      <c r="T985" s="9"/>
      <c r="U985" s="9"/>
      <c r="V985" s="9"/>
      <c r="W985" s="9"/>
      <c r="X985" s="9"/>
      <c r="Y985" s="9"/>
      <c r="Z985" s="9"/>
    </row>
    <row r="986" ht="15.75" customHeight="1">
      <c r="A986" s="32"/>
      <c r="B986" s="9"/>
      <c r="C986" s="110"/>
      <c r="D986" s="134"/>
      <c r="E986" s="135"/>
      <c r="F986" s="9"/>
      <c r="G986" s="9"/>
      <c r="H986" s="9"/>
      <c r="I986" s="9"/>
      <c r="J986" s="9"/>
      <c r="K986" s="9"/>
      <c r="L986" s="9"/>
      <c r="M986" s="9"/>
      <c r="N986" s="9"/>
      <c r="O986" s="9"/>
      <c r="P986" s="9"/>
      <c r="Q986" s="9"/>
      <c r="R986" s="9"/>
      <c r="S986" s="9"/>
      <c r="T986" s="9"/>
      <c r="U986" s="9"/>
      <c r="V986" s="9"/>
      <c r="W986" s="9"/>
      <c r="X986" s="9"/>
      <c r="Y986" s="9"/>
      <c r="Z986" s="9"/>
    </row>
    <row r="987" ht="15.75" customHeight="1">
      <c r="A987" s="32"/>
      <c r="B987" s="9"/>
      <c r="C987" s="110"/>
      <c r="D987" s="134"/>
      <c r="E987" s="135"/>
      <c r="F987" s="9"/>
      <c r="G987" s="9"/>
      <c r="H987" s="9"/>
      <c r="I987" s="9"/>
      <c r="J987" s="9"/>
      <c r="K987" s="9"/>
      <c r="L987" s="9"/>
      <c r="M987" s="9"/>
      <c r="N987" s="9"/>
      <c r="O987" s="9"/>
      <c r="P987" s="9"/>
      <c r="Q987" s="9"/>
      <c r="R987" s="9"/>
      <c r="S987" s="9"/>
      <c r="T987" s="9"/>
      <c r="U987" s="9"/>
      <c r="V987" s="9"/>
      <c r="W987" s="9"/>
      <c r="X987" s="9"/>
      <c r="Y987" s="9"/>
      <c r="Z987" s="9"/>
    </row>
    <row r="988" ht="15.75" customHeight="1">
      <c r="A988" s="32"/>
      <c r="B988" s="9"/>
      <c r="C988" s="110"/>
      <c r="D988" s="134"/>
      <c r="E988" s="135"/>
      <c r="F988" s="9"/>
      <c r="G988" s="9"/>
      <c r="H988" s="9"/>
      <c r="I988" s="9"/>
      <c r="J988" s="9"/>
      <c r="K988" s="9"/>
      <c r="L988" s="9"/>
      <c r="M988" s="9"/>
      <c r="N988" s="9"/>
      <c r="O988" s="9"/>
      <c r="P988" s="9"/>
      <c r="Q988" s="9"/>
      <c r="R988" s="9"/>
      <c r="S988" s="9"/>
      <c r="T988" s="9"/>
      <c r="U988" s="9"/>
      <c r="V988" s="9"/>
      <c r="W988" s="9"/>
      <c r="X988" s="9"/>
      <c r="Y988" s="9"/>
      <c r="Z988" s="9"/>
    </row>
    <row r="989" ht="15.75" customHeight="1">
      <c r="A989" s="32"/>
      <c r="B989" s="9"/>
      <c r="C989" s="110"/>
      <c r="D989" s="134"/>
      <c r="E989" s="135"/>
      <c r="F989" s="9"/>
      <c r="G989" s="9"/>
      <c r="H989" s="9"/>
      <c r="I989" s="9"/>
      <c r="J989" s="9"/>
      <c r="K989" s="9"/>
      <c r="L989" s="9"/>
      <c r="M989" s="9"/>
      <c r="N989" s="9"/>
      <c r="O989" s="9"/>
      <c r="P989" s="9"/>
      <c r="Q989" s="9"/>
      <c r="R989" s="9"/>
      <c r="S989" s="9"/>
      <c r="T989" s="9"/>
      <c r="U989" s="9"/>
      <c r="V989" s="9"/>
      <c r="W989" s="9"/>
      <c r="X989" s="9"/>
      <c r="Y989" s="9"/>
      <c r="Z989" s="9"/>
    </row>
    <row r="990" ht="15.75" customHeight="1">
      <c r="A990" s="32"/>
      <c r="B990" s="9"/>
      <c r="C990" s="110"/>
      <c r="D990" s="134"/>
      <c r="E990" s="135"/>
      <c r="F990" s="9"/>
      <c r="G990" s="9"/>
      <c r="H990" s="9"/>
      <c r="I990" s="9"/>
      <c r="J990" s="9"/>
      <c r="K990" s="9"/>
      <c r="L990" s="9"/>
      <c r="M990" s="9"/>
      <c r="N990" s="9"/>
      <c r="O990" s="9"/>
      <c r="P990" s="9"/>
      <c r="Q990" s="9"/>
      <c r="R990" s="9"/>
      <c r="S990" s="9"/>
      <c r="T990" s="9"/>
      <c r="U990" s="9"/>
      <c r="V990" s="9"/>
      <c r="W990" s="9"/>
      <c r="X990" s="9"/>
      <c r="Y990" s="9"/>
      <c r="Z990" s="9"/>
    </row>
    <row r="991" ht="15.75" customHeight="1">
      <c r="A991" s="32"/>
      <c r="B991" s="9"/>
      <c r="C991" s="110"/>
      <c r="D991" s="134"/>
      <c r="E991" s="135"/>
      <c r="F991" s="9"/>
      <c r="G991" s="9"/>
      <c r="H991" s="9"/>
      <c r="I991" s="9"/>
      <c r="J991" s="9"/>
      <c r="K991" s="9"/>
      <c r="L991" s="9"/>
      <c r="M991" s="9"/>
      <c r="N991" s="9"/>
      <c r="O991" s="9"/>
      <c r="P991" s="9"/>
      <c r="Q991" s="9"/>
      <c r="R991" s="9"/>
      <c r="S991" s="9"/>
      <c r="T991" s="9"/>
      <c r="U991" s="9"/>
      <c r="V991" s="9"/>
      <c r="W991" s="9"/>
      <c r="X991" s="9"/>
      <c r="Y991" s="9"/>
      <c r="Z991" s="9"/>
    </row>
    <row r="992" ht="15.75" customHeight="1">
      <c r="A992" s="32"/>
      <c r="B992" s="9"/>
      <c r="C992" s="110"/>
      <c r="D992" s="134"/>
      <c r="E992" s="135"/>
      <c r="F992" s="9"/>
      <c r="G992" s="9"/>
      <c r="H992" s="9"/>
      <c r="I992" s="9"/>
      <c r="J992" s="9"/>
      <c r="K992" s="9"/>
      <c r="L992" s="9"/>
      <c r="M992" s="9"/>
      <c r="N992" s="9"/>
      <c r="O992" s="9"/>
      <c r="P992" s="9"/>
      <c r="Q992" s="9"/>
      <c r="R992" s="9"/>
      <c r="S992" s="9"/>
      <c r="T992" s="9"/>
      <c r="U992" s="9"/>
      <c r="V992" s="9"/>
      <c r="W992" s="9"/>
      <c r="X992" s="9"/>
      <c r="Y992" s="9"/>
      <c r="Z992" s="9"/>
    </row>
    <row r="993" ht="15.75" customHeight="1">
      <c r="A993" s="32"/>
      <c r="B993" s="9"/>
      <c r="C993" s="110"/>
      <c r="D993" s="134"/>
      <c r="E993" s="135"/>
      <c r="F993" s="9"/>
      <c r="G993" s="9"/>
      <c r="H993" s="9"/>
      <c r="I993" s="9"/>
      <c r="J993" s="9"/>
      <c r="K993" s="9"/>
      <c r="L993" s="9"/>
      <c r="M993" s="9"/>
      <c r="N993" s="9"/>
      <c r="O993" s="9"/>
      <c r="P993" s="9"/>
      <c r="Q993" s="9"/>
      <c r="R993" s="9"/>
      <c r="S993" s="9"/>
      <c r="T993" s="9"/>
      <c r="U993" s="9"/>
      <c r="V993" s="9"/>
      <c r="W993" s="9"/>
      <c r="X993" s="9"/>
      <c r="Y993" s="9"/>
      <c r="Z993" s="9"/>
    </row>
    <row r="994" ht="15.75" customHeight="1">
      <c r="A994" s="32"/>
      <c r="B994" s="9"/>
      <c r="C994" s="110"/>
      <c r="D994" s="134"/>
      <c r="E994" s="135"/>
      <c r="F994" s="9"/>
      <c r="G994" s="9"/>
      <c r="H994" s="9"/>
      <c r="I994" s="9"/>
      <c r="J994" s="9"/>
      <c r="K994" s="9"/>
      <c r="L994" s="9"/>
      <c r="M994" s="9"/>
      <c r="N994" s="9"/>
      <c r="O994" s="9"/>
      <c r="P994" s="9"/>
      <c r="Q994" s="9"/>
      <c r="R994" s="9"/>
      <c r="S994" s="9"/>
      <c r="T994" s="9"/>
      <c r="U994" s="9"/>
      <c r="V994" s="9"/>
      <c r="W994" s="9"/>
      <c r="X994" s="9"/>
      <c r="Y994" s="9"/>
      <c r="Z994" s="9"/>
    </row>
    <row r="995" ht="15.75" customHeight="1">
      <c r="A995" s="32"/>
      <c r="B995" s="9"/>
      <c r="C995" s="110"/>
      <c r="D995" s="134"/>
      <c r="E995" s="135"/>
      <c r="F995" s="9"/>
      <c r="G995" s="9"/>
      <c r="H995" s="9"/>
      <c r="I995" s="9"/>
      <c r="J995" s="9"/>
      <c r="K995" s="9"/>
      <c r="L995" s="9"/>
      <c r="M995" s="9"/>
      <c r="N995" s="9"/>
      <c r="O995" s="9"/>
      <c r="P995" s="9"/>
      <c r="Q995" s="9"/>
      <c r="R995" s="9"/>
      <c r="S995" s="9"/>
      <c r="T995" s="9"/>
      <c r="U995" s="9"/>
      <c r="V995" s="9"/>
      <c r="W995" s="9"/>
      <c r="X995" s="9"/>
      <c r="Y995" s="9"/>
      <c r="Z995" s="9"/>
    </row>
    <row r="996" ht="15.75" customHeight="1">
      <c r="A996" s="32"/>
      <c r="B996" s="9"/>
      <c r="C996" s="110"/>
      <c r="D996" s="134"/>
      <c r="E996" s="135"/>
      <c r="F996" s="9"/>
      <c r="G996" s="9"/>
      <c r="H996" s="9"/>
      <c r="I996" s="9"/>
      <c r="J996" s="9"/>
      <c r="K996" s="9"/>
      <c r="L996" s="9"/>
      <c r="M996" s="9"/>
      <c r="N996" s="9"/>
      <c r="O996" s="9"/>
      <c r="P996" s="9"/>
      <c r="Q996" s="9"/>
      <c r="R996" s="9"/>
      <c r="S996" s="9"/>
      <c r="T996" s="9"/>
      <c r="U996" s="9"/>
      <c r="V996" s="9"/>
      <c r="W996" s="9"/>
      <c r="X996" s="9"/>
      <c r="Y996" s="9"/>
      <c r="Z996" s="9"/>
    </row>
    <row r="997" ht="15.75" customHeight="1">
      <c r="A997" s="32"/>
      <c r="B997" s="9"/>
      <c r="C997" s="110"/>
      <c r="D997" s="134"/>
      <c r="E997" s="135"/>
      <c r="F997" s="9"/>
      <c r="G997" s="9"/>
      <c r="H997" s="9"/>
      <c r="I997" s="9"/>
      <c r="J997" s="9"/>
      <c r="K997" s="9"/>
      <c r="L997" s="9"/>
      <c r="M997" s="9"/>
      <c r="N997" s="9"/>
      <c r="O997" s="9"/>
      <c r="P997" s="9"/>
      <c r="Q997" s="9"/>
      <c r="R997" s="9"/>
      <c r="S997" s="9"/>
      <c r="T997" s="9"/>
      <c r="U997" s="9"/>
      <c r="V997" s="9"/>
      <c r="W997" s="9"/>
      <c r="X997" s="9"/>
      <c r="Y997" s="9"/>
      <c r="Z997" s="9"/>
    </row>
    <row r="998" ht="15.75" customHeight="1">
      <c r="A998" s="32"/>
      <c r="B998" s="9"/>
      <c r="C998" s="110"/>
      <c r="D998" s="134"/>
      <c r="E998" s="135"/>
      <c r="F998" s="9"/>
      <c r="G998" s="9"/>
      <c r="H998" s="9"/>
      <c r="I998" s="9"/>
      <c r="J998" s="9"/>
      <c r="K998" s="9"/>
      <c r="L998" s="9"/>
      <c r="M998" s="9"/>
      <c r="N998" s="9"/>
      <c r="O998" s="9"/>
      <c r="P998" s="9"/>
      <c r="Q998" s="9"/>
      <c r="R998" s="9"/>
      <c r="S998" s="9"/>
      <c r="T998" s="9"/>
      <c r="U998" s="9"/>
      <c r="V998" s="9"/>
      <c r="W998" s="9"/>
      <c r="X998" s="9"/>
      <c r="Y998" s="9"/>
      <c r="Z998" s="9"/>
    </row>
    <row r="999" ht="15.75" customHeight="1">
      <c r="A999" s="32"/>
      <c r="B999" s="9"/>
      <c r="C999" s="110"/>
      <c r="D999" s="134"/>
      <c r="E999" s="135"/>
      <c r="F999" s="9"/>
      <c r="G999" s="9"/>
      <c r="H999" s="9"/>
      <c r="I999" s="9"/>
      <c r="J999" s="9"/>
      <c r="K999" s="9"/>
      <c r="L999" s="9"/>
      <c r="M999" s="9"/>
      <c r="N999" s="9"/>
      <c r="O999" s="9"/>
      <c r="P999" s="9"/>
      <c r="Q999" s="9"/>
      <c r="R999" s="9"/>
      <c r="S999" s="9"/>
      <c r="T999" s="9"/>
      <c r="U999" s="9"/>
      <c r="V999" s="9"/>
      <c r="W999" s="9"/>
      <c r="X999" s="9"/>
      <c r="Y999" s="9"/>
      <c r="Z999" s="9"/>
    </row>
    <row r="1000" ht="15.75" customHeight="1">
      <c r="A1000" s="32"/>
      <c r="B1000" s="9"/>
      <c r="C1000" s="110"/>
      <c r="D1000" s="134"/>
      <c r="E1000" s="135"/>
      <c r="F1000" s="9"/>
      <c r="G1000" s="9"/>
      <c r="H1000" s="9"/>
      <c r="I1000" s="9"/>
      <c r="J1000" s="9"/>
      <c r="K1000" s="9"/>
      <c r="L1000" s="9"/>
      <c r="M1000" s="9"/>
      <c r="N1000" s="9"/>
      <c r="O1000" s="9"/>
      <c r="P1000" s="9"/>
      <c r="Q1000" s="9"/>
      <c r="R1000" s="9"/>
      <c r="S1000" s="9"/>
      <c r="T1000" s="9"/>
      <c r="U1000" s="9"/>
      <c r="V1000" s="9"/>
      <c r="W1000" s="9"/>
      <c r="X1000" s="9"/>
      <c r="Y1000" s="9"/>
      <c r="Z1000" s="9"/>
    </row>
  </sheetData>
  <mergeCells count="82">
    <mergeCell ref="C10:E10"/>
    <mergeCell ref="C9:E9"/>
    <mergeCell ref="A5:E5"/>
    <mergeCell ref="A6:E6"/>
    <mergeCell ref="C11:E11"/>
    <mergeCell ref="A4:B4"/>
    <mergeCell ref="A1:D1"/>
    <mergeCell ref="A2:E2"/>
    <mergeCell ref="C3:E3"/>
    <mergeCell ref="C7:E7"/>
    <mergeCell ref="C8:E8"/>
    <mergeCell ref="A218:B218"/>
    <mergeCell ref="A193:B193"/>
    <mergeCell ref="A206:B206"/>
    <mergeCell ref="A80:B80"/>
    <mergeCell ref="A111:B111"/>
    <mergeCell ref="A98:B98"/>
    <mergeCell ref="A127:B127"/>
    <mergeCell ref="A245:B245"/>
    <mergeCell ref="A248:B248"/>
    <mergeCell ref="A224:B224"/>
    <mergeCell ref="A269:B269"/>
    <mergeCell ref="A301:B301"/>
    <mergeCell ref="A156:B156"/>
    <mergeCell ref="A179:B179"/>
    <mergeCell ref="A159:B159"/>
    <mergeCell ref="C99:D99"/>
    <mergeCell ref="C113:D113"/>
    <mergeCell ref="C116:D116"/>
    <mergeCell ref="C117:D117"/>
    <mergeCell ref="C73:D73"/>
    <mergeCell ref="C76:D76"/>
    <mergeCell ref="C71:D71"/>
    <mergeCell ref="C96:D96"/>
    <mergeCell ref="C70:D70"/>
    <mergeCell ref="C97:D97"/>
    <mergeCell ref="C141:D141"/>
    <mergeCell ref="C265:D265"/>
    <mergeCell ref="C249:D249"/>
    <mergeCell ref="C208:D208"/>
    <mergeCell ref="C217:D217"/>
    <mergeCell ref="C308:D308"/>
    <mergeCell ref="C292:D292"/>
    <mergeCell ref="C267:D267"/>
    <mergeCell ref="C309:D309"/>
    <mergeCell ref="C313:D313"/>
    <mergeCell ref="A259:B259"/>
    <mergeCell ref="A254:B254"/>
    <mergeCell ref="C14:E14"/>
    <mergeCell ref="C13:E13"/>
    <mergeCell ref="C12:E12"/>
    <mergeCell ref="C18:E18"/>
    <mergeCell ref="C19:E19"/>
    <mergeCell ref="C15:E15"/>
    <mergeCell ref="C16:E16"/>
    <mergeCell ref="A17:E17"/>
    <mergeCell ref="A23:E23"/>
    <mergeCell ref="A21:E21"/>
    <mergeCell ref="C196:D196"/>
    <mergeCell ref="C188:D188"/>
    <mergeCell ref="C143:D143"/>
    <mergeCell ref="C177:D177"/>
    <mergeCell ref="C169:D169"/>
    <mergeCell ref="C176:D176"/>
    <mergeCell ref="C180:D180"/>
    <mergeCell ref="C45:D45"/>
    <mergeCell ref="C47:D47"/>
    <mergeCell ref="C48:D48"/>
    <mergeCell ref="C49:D49"/>
    <mergeCell ref="A51:B51"/>
    <mergeCell ref="C50:D50"/>
    <mergeCell ref="A61:B61"/>
    <mergeCell ref="C68:D68"/>
    <mergeCell ref="A22:B22"/>
    <mergeCell ref="A20:B20"/>
    <mergeCell ref="A46:B46"/>
    <mergeCell ref="C39:D39"/>
    <mergeCell ref="A38:B38"/>
    <mergeCell ref="C40:D40"/>
    <mergeCell ref="A31:B31"/>
    <mergeCell ref="C207:D207"/>
    <mergeCell ref="C204:D204"/>
  </mergeCells>
  <conditionalFormatting sqref="C206:E206 A206">
    <cfRule type="expression" dxfId="0" priority="1">
      <formula>$C$25="No"</formula>
    </cfRule>
  </conditionalFormatting>
  <conditionalFormatting sqref="C269:E269 A269">
    <cfRule type="expression" dxfId="0" priority="2">
      <formula>$C$24="No"</formula>
    </cfRule>
  </conditionalFormatting>
  <conditionalFormatting sqref="C46:E46 A46">
    <cfRule type="expression" dxfId="0" priority="3">
      <formula>$C$26="No"</formula>
    </cfRule>
  </conditionalFormatting>
  <conditionalFormatting sqref="C179:E179 A179">
    <cfRule type="expression" dxfId="1" priority="4">
      <formula>$C$28="No"</formula>
    </cfRule>
  </conditionalFormatting>
  <conditionalFormatting sqref="A164:E165">
    <cfRule type="expression" dxfId="2" priority="5">
      <formula>$C$163="No"</formula>
    </cfRule>
  </conditionalFormatting>
  <conditionalFormatting sqref="A169:E169">
    <cfRule type="expression" dxfId="2" priority="6">
      <formula>$C$168="No"</formula>
    </cfRule>
  </conditionalFormatting>
  <conditionalFormatting sqref="A165:E165">
    <cfRule type="expression" dxfId="2" priority="7">
      <formula>$C$164="No"</formula>
    </cfRule>
  </conditionalFormatting>
  <conditionalFormatting sqref="A91:B91 D91:E91">
    <cfRule type="expression" dxfId="2" priority="8">
      <formula>$C$90="No"</formula>
    </cfRule>
  </conditionalFormatting>
  <conditionalFormatting sqref="A93:B94 D93:E94">
    <cfRule type="expression" dxfId="2" priority="9">
      <formula>$C$92="No"</formula>
    </cfRule>
  </conditionalFormatting>
  <conditionalFormatting sqref="A261:E261">
    <cfRule type="expression" dxfId="2" priority="10">
      <formula>$C$260="No"</formula>
    </cfRule>
  </conditionalFormatting>
  <conditionalFormatting sqref="A264:E264">
    <cfRule type="expression" dxfId="2" priority="11">
      <formula>$C$263="No"</formula>
    </cfRule>
  </conditionalFormatting>
  <conditionalFormatting sqref="A214:E214">
    <cfRule type="expression" dxfId="2" priority="12">
      <formula>$C$213="No"</formula>
    </cfRule>
  </conditionalFormatting>
  <conditionalFormatting sqref="A217:E217">
    <cfRule type="expression" dxfId="2" priority="13">
      <formula>$C$216="No"</formula>
    </cfRule>
  </conditionalFormatting>
  <conditionalFormatting sqref="C301:E301 A301">
    <cfRule type="expression" dxfId="1" priority="14">
      <formula>$C$29="No"</formula>
    </cfRule>
  </conditionalFormatting>
  <conditionalFormatting sqref="A294:E294">
    <cfRule type="expression" dxfId="2" priority="15">
      <formula>$C$293="No"</formula>
    </cfRule>
  </conditionalFormatting>
  <conditionalFormatting sqref="A242:E242">
    <cfRule type="expression" dxfId="2" priority="16">
      <formula>$C$241="No"</formula>
    </cfRule>
  </conditionalFormatting>
  <conditionalFormatting sqref="A239">
    <cfRule type="expression" dxfId="2" priority="17">
      <formula>#REF!="No"</formula>
    </cfRule>
  </conditionalFormatting>
  <conditionalFormatting sqref="D58">
    <cfRule type="expression" dxfId="2" priority="18">
      <formula>$C$57="No"</formula>
    </cfRule>
  </conditionalFormatting>
  <conditionalFormatting sqref="A60:E60">
    <cfRule type="expression" dxfId="2" priority="19">
      <formula>$C$59="No"</formula>
    </cfRule>
  </conditionalFormatting>
  <conditionalFormatting sqref="C51:E51 A51">
    <cfRule type="expression" dxfId="0" priority="20">
      <formula>$C$30="No"</formula>
    </cfRule>
  </conditionalFormatting>
  <conditionalFormatting sqref="A139:E139">
    <cfRule type="expression" dxfId="2" priority="21">
      <formula>$C$138="No"</formula>
    </cfRule>
  </conditionalFormatting>
  <conditionalFormatting sqref="A113:E113">
    <cfRule type="expression" dxfId="2" priority="22">
      <formula>$C$112="No"</formula>
    </cfRule>
  </conditionalFormatting>
  <conditionalFormatting sqref="A204:E204">
    <cfRule type="expression" dxfId="2" priority="23">
      <formula>$C$203="No"</formula>
    </cfRule>
  </conditionalFormatting>
  <conditionalFormatting sqref="A185:E185">
    <cfRule type="expression" dxfId="2" priority="24">
      <formula>$C$184="No"</formula>
    </cfRule>
  </conditionalFormatting>
  <conditionalFormatting sqref="C98:E98 A98">
    <cfRule type="expression" dxfId="1" priority="25">
      <formula>$C$27="No"</formula>
    </cfRule>
  </conditionalFormatting>
  <conditionalFormatting sqref="A277:B278 D277:D278">
    <cfRule type="expression" dxfId="2" priority="26">
      <formula>$C$276="No"</formula>
    </cfRule>
  </conditionalFormatting>
  <conditionalFormatting sqref="A278:B278 D278">
    <cfRule type="expression" dxfId="2" priority="27">
      <formula>$C$277="No"</formula>
    </cfRule>
  </conditionalFormatting>
  <conditionalFormatting sqref="B52:B57 B59:B60">
    <cfRule type="expression" dxfId="3" priority="28">
      <formula>$C$30="No"</formula>
    </cfRule>
  </conditionalFormatting>
  <conditionalFormatting sqref="B47:B49">
    <cfRule type="expression" dxfId="4" priority="29">
      <formula>$C$26="No"</formula>
    </cfRule>
  </conditionalFormatting>
  <conditionalFormatting sqref="B50">
    <cfRule type="expression" dxfId="4" priority="30">
      <formula>$C$26="No"</formula>
    </cfRule>
  </conditionalFormatting>
  <conditionalFormatting sqref="A61:E61 A80:E80 A98:E98 A111:E111 A127:E127 A159:E159 A179:E179 A193:E193 A206:E206 A224:E224 A245:E245 A248:E248 A254:E254 A269:E269 A301:E301">
    <cfRule type="expression" dxfId="0" priority="31">
      <formula>$C$30="Yes"</formula>
    </cfRule>
  </conditionalFormatting>
  <conditionalFormatting sqref="A156:E156">
    <cfRule type="expression" dxfId="0" priority="32">
      <formula>$C$30="Yes"</formula>
    </cfRule>
  </conditionalFormatting>
  <conditionalFormatting sqref="A218:E218">
    <cfRule type="expression" dxfId="0" priority="33">
      <formula>$C$30="Yes"</formula>
    </cfRule>
  </conditionalFormatting>
  <conditionalFormatting sqref="A259:E259">
    <cfRule type="expression" dxfId="0" priority="34">
      <formula>$C$30="Yes"</formula>
    </cfRule>
  </conditionalFormatting>
  <conditionalFormatting sqref="B86:B95 B68:B71 B112:B113 B125:B126 B238:B244 B137:B155">
    <cfRule type="expression" dxfId="4" priority="35">
      <formula>$C$30="Yes"</formula>
    </cfRule>
  </conditionalFormatting>
  <conditionalFormatting sqref="B81">
    <cfRule type="expression" dxfId="4" priority="36">
      <formula>$C$30="Yes"</formula>
    </cfRule>
  </conditionalFormatting>
  <conditionalFormatting sqref="B85">
    <cfRule type="expression" dxfId="4" priority="37">
      <formula>$C$30="Yes"</formula>
    </cfRule>
  </conditionalFormatting>
  <conditionalFormatting sqref="B115">
    <cfRule type="expression" dxfId="4" priority="38">
      <formula>$C$30="Yes"</formula>
    </cfRule>
  </conditionalFormatting>
  <conditionalFormatting sqref="B255:B258">
    <cfRule type="expression" dxfId="4" priority="39">
      <formula>$C$30="Yes"</formula>
    </cfRule>
  </conditionalFormatting>
  <conditionalFormatting sqref="B157:B158">
    <cfRule type="expression" dxfId="4" priority="40">
      <formula>$C$30="Yes"</formula>
    </cfRule>
  </conditionalFormatting>
  <conditionalFormatting sqref="B246:B247">
    <cfRule type="expression" dxfId="4" priority="41">
      <formula>$C$30="Yes"</formula>
    </cfRule>
  </conditionalFormatting>
  <conditionalFormatting sqref="B217">
    <cfRule type="expression" dxfId="4" priority="42">
      <formula>$C$30="Yes"</formula>
    </cfRule>
  </conditionalFormatting>
  <conditionalFormatting sqref="B249:B253">
    <cfRule type="expression" dxfId="4" priority="43">
      <formula>$C$30="Yes"</formula>
    </cfRule>
  </conditionalFormatting>
  <conditionalFormatting sqref="B82:B84">
    <cfRule type="expression" dxfId="4" priority="44">
      <formula>$C$30="Yes"</formula>
    </cfRule>
  </conditionalFormatting>
  <conditionalFormatting sqref="B270:B300">
    <cfRule type="expression" dxfId="4" priority="45">
      <formula>$C$24="No"</formula>
    </cfRule>
  </conditionalFormatting>
  <conditionalFormatting sqref="B270:B300">
    <cfRule type="expression" dxfId="4" priority="46">
      <formula>$C$30="Yes"</formula>
    </cfRule>
  </conditionalFormatting>
  <conditionalFormatting sqref="B302:B313">
    <cfRule type="expression" dxfId="4" priority="47">
      <formula>$C$29="No"</formula>
    </cfRule>
  </conditionalFormatting>
  <conditionalFormatting sqref="B302:B313">
    <cfRule type="expression" dxfId="4" priority="48">
      <formula>$C$30="Yes"</formula>
    </cfRule>
  </conditionalFormatting>
  <conditionalFormatting sqref="A297:E297 A298:A300">
    <cfRule type="expression" dxfId="2" priority="49">
      <formula>$C$296="No"</formula>
    </cfRule>
  </conditionalFormatting>
  <conditionalFormatting sqref="B128">
    <cfRule type="expression" dxfId="4" priority="50">
      <formula>$C$30="Yes"</formula>
    </cfRule>
  </conditionalFormatting>
  <conditionalFormatting sqref="B96:B97">
    <cfRule type="expression" dxfId="4" priority="51">
      <formula>$C$30="Yes"</formula>
    </cfRule>
  </conditionalFormatting>
  <conditionalFormatting sqref="B114">
    <cfRule type="expression" dxfId="4" priority="52">
      <formula>$C$30="Yes"</formula>
    </cfRule>
  </conditionalFormatting>
  <conditionalFormatting sqref="B72:B75">
    <cfRule type="expression" dxfId="4" priority="53">
      <formula>$C$30="Yes"</formula>
    </cfRule>
  </conditionalFormatting>
  <conditionalFormatting sqref="B76:B79">
    <cfRule type="expression" dxfId="4" priority="54">
      <formula>$C$30="Yes"</formula>
    </cfRule>
  </conditionalFormatting>
  <conditionalFormatting sqref="B116:B118">
    <cfRule type="expression" dxfId="4" priority="55">
      <formula>$C$30="Yes"</formula>
    </cfRule>
  </conditionalFormatting>
  <conditionalFormatting sqref="B119:B124">
    <cfRule type="expression" dxfId="4" priority="56">
      <formula>$C$30="Yes"</formula>
    </cfRule>
  </conditionalFormatting>
  <conditionalFormatting sqref="B129:B132">
    <cfRule type="expression" dxfId="4" priority="57">
      <formula>$C$30="Yes"</formula>
    </cfRule>
  </conditionalFormatting>
  <conditionalFormatting sqref="B207:B216">
    <cfRule type="expression" dxfId="4" priority="58">
      <formula>$C$30="Yes"</formula>
    </cfRule>
  </conditionalFormatting>
  <conditionalFormatting sqref="E91">
    <cfRule type="expression" dxfId="2" priority="59">
      <formula>$C$90="No"</formula>
    </cfRule>
  </conditionalFormatting>
  <conditionalFormatting sqref="E93:E94">
    <cfRule type="expression" dxfId="2" priority="60">
      <formula>$C$92="No"</formula>
    </cfRule>
  </conditionalFormatting>
  <conditionalFormatting sqref="B133">
    <cfRule type="expression" dxfId="4" priority="61">
      <formula>$C$30="Yes"</formula>
    </cfRule>
  </conditionalFormatting>
  <conditionalFormatting sqref="B134">
    <cfRule type="expression" dxfId="4" priority="62">
      <formula>$C$30="Yes"</formula>
    </cfRule>
  </conditionalFormatting>
  <conditionalFormatting sqref="B136">
    <cfRule type="expression" dxfId="4" priority="63">
      <formula>$C$30="Yes"</formula>
    </cfRule>
  </conditionalFormatting>
  <conditionalFormatting sqref="B135">
    <cfRule type="expression" dxfId="4" priority="64">
      <formula>$C$30="Yes"</formula>
    </cfRule>
  </conditionalFormatting>
  <conditionalFormatting sqref="E185">
    <cfRule type="expression" dxfId="2" priority="65">
      <formula>$C$184="No"</formula>
    </cfRule>
  </conditionalFormatting>
  <conditionalFormatting sqref="E190">
    <cfRule type="expression" dxfId="5" priority="66">
      <formula>$C$189="No"</formula>
    </cfRule>
  </conditionalFormatting>
  <conditionalFormatting sqref="B194:B205">
    <cfRule type="expression" dxfId="4" priority="67">
      <formula>$C$30="Yes"</formula>
    </cfRule>
  </conditionalFormatting>
  <conditionalFormatting sqref="B219:B223">
    <cfRule type="expression" dxfId="4" priority="68">
      <formula>$C$30="Yes"</formula>
    </cfRule>
  </conditionalFormatting>
  <conditionalFormatting sqref="B260:B268">
    <cfRule type="expression" dxfId="4" priority="69">
      <formula>$C$30="Yes"</formula>
    </cfRule>
  </conditionalFormatting>
  <conditionalFormatting sqref="B225:B235">
    <cfRule type="expression" dxfId="4" priority="70">
      <formula>$C$30="Yes"</formula>
    </cfRule>
  </conditionalFormatting>
  <conditionalFormatting sqref="B207:B217">
    <cfRule type="expression" dxfId="4" priority="71">
      <formula>$C$25="No"</formula>
    </cfRule>
  </conditionalFormatting>
  <conditionalFormatting sqref="B62:B67">
    <cfRule type="expression" dxfId="4" priority="72">
      <formula>$C$30="Yes"</formula>
    </cfRule>
  </conditionalFormatting>
  <conditionalFormatting sqref="B99:B110">
    <cfRule type="expression" dxfId="4" priority="73">
      <formula>$C$27="No"</formula>
    </cfRule>
  </conditionalFormatting>
  <conditionalFormatting sqref="B99:B110">
    <cfRule type="expression" dxfId="4" priority="74">
      <formula>$C$30="Yes"</formula>
    </cfRule>
  </conditionalFormatting>
  <conditionalFormatting sqref="B160:B178">
    <cfRule type="expression" dxfId="4" priority="75">
      <formula>$C$30="Yes"</formula>
    </cfRule>
  </conditionalFormatting>
  <conditionalFormatting sqref="B180:B192">
    <cfRule type="expression" dxfId="4" priority="76">
      <formula>$C$28="No"</formula>
    </cfRule>
  </conditionalFormatting>
  <conditionalFormatting sqref="B180:B192">
    <cfRule type="expression" dxfId="4" priority="77">
      <formula>$C$30="Yes"</formula>
    </cfRule>
  </conditionalFormatting>
  <conditionalFormatting sqref="C58">
    <cfRule type="expression" dxfId="2" priority="78">
      <formula>$C$57="No"</formula>
    </cfRule>
  </conditionalFormatting>
  <conditionalFormatting sqref="B58">
    <cfRule type="expression" dxfId="3" priority="79">
      <formula>$C$30="No"</formula>
    </cfRule>
  </conditionalFormatting>
  <conditionalFormatting sqref="B236:B237">
    <cfRule type="expression" dxfId="4" priority="80">
      <formula>$C$48="Yes"</formula>
    </cfRule>
  </conditionalFormatting>
  <conditionalFormatting sqref="E202">
    <cfRule type="expression" dxfId="6" priority="81">
      <formula>#REF!="Yes"</formula>
    </cfRule>
  </conditionalFormatting>
  <conditionalFormatting sqref="E219">
    <cfRule type="expression" dxfId="6" priority="82">
      <formula>#REF!="Yes"</formula>
    </cfRule>
  </conditionalFormatting>
  <conditionalFormatting sqref="E225">
    <cfRule type="expression" dxfId="6" priority="83">
      <formula>#REF!="Yes"</formula>
    </cfRule>
  </conditionalFormatting>
  <conditionalFormatting sqref="E258">
    <cfRule type="expression" dxfId="6" priority="84">
      <formula>#REF!="Yes"</formula>
    </cfRule>
  </conditionalFormatting>
  <conditionalFormatting sqref="C91">
    <cfRule type="expression" dxfId="2" priority="85">
      <formula>$C$90="No"</formula>
    </cfRule>
  </conditionalFormatting>
  <conditionalFormatting sqref="C93:C94">
    <cfRule type="expression" dxfId="2" priority="86">
      <formula>$C$92="No"</formula>
    </cfRule>
  </conditionalFormatting>
  <hyperlinks>
    <hyperlink r:id="rId2" ref="C10"/>
    <hyperlink r:id="rId3" ref="D175"/>
    <hyperlink r:id="rId4" ref="C176"/>
  </hyperlinks>
  <printOptions/>
  <pageMargins bottom="1.0" footer="0.0" header="0.0" left="0.75" right="0.75" top="1.0"/>
  <pageSetup orientation="landscape"/>
  <headerFooter>
    <oddFooter>&amp;L000000	&amp;P</oddFooter>
  </headerFooter>
  <drawing r:id="rId5"/>
  <legacyDrawing r:id="rId6"/>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outlinePr summaryBelow="0" summaryRight="0"/>
  </sheetPr>
  <sheetViews>
    <sheetView workbookViewId="0"/>
  </sheetViews>
  <sheetFormatPr customHeight="1" defaultColWidth="11.22" defaultRowHeight="15.0"/>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7030A0"/>
    <pageSetUpPr/>
  </sheetPr>
  <sheetViews>
    <sheetView showGridLines="0" workbookViewId="0"/>
  </sheetViews>
  <sheetFormatPr customHeight="1" defaultColWidth="11.22" defaultRowHeight="15.0"/>
  <cols>
    <col customWidth="1" min="1" max="1" width="8.22"/>
    <col customWidth="1" min="2" max="2" width="58.44"/>
    <col customWidth="1" min="3" max="7" width="24.67"/>
    <col customWidth="1" min="8" max="8" width="26.67"/>
    <col customWidth="1" min="9" max="9" width="12.0"/>
    <col customWidth="1" min="10" max="29" width="6.67"/>
  </cols>
  <sheetData>
    <row r="1" ht="36.0" customHeight="1">
      <c r="A1" s="59" t="s">
        <v>127</v>
      </c>
      <c r="B1" s="2"/>
      <c r="C1" s="2"/>
      <c r="D1" s="2"/>
      <c r="E1" s="2"/>
      <c r="F1" s="2"/>
      <c r="G1" s="2"/>
      <c r="H1" s="2"/>
      <c r="I1" s="3"/>
      <c r="J1" s="9"/>
      <c r="K1" s="9"/>
      <c r="L1" s="9"/>
      <c r="M1" s="9"/>
      <c r="N1" s="9"/>
      <c r="O1" s="9"/>
      <c r="P1" s="9"/>
      <c r="Q1" s="9"/>
      <c r="R1" s="9"/>
      <c r="S1" s="9"/>
      <c r="T1" s="9"/>
      <c r="U1" s="9"/>
      <c r="V1" s="9"/>
      <c r="W1" s="9"/>
      <c r="X1" s="9"/>
      <c r="Y1" s="9"/>
      <c r="Z1" s="9"/>
      <c r="AA1" s="9"/>
      <c r="AB1" s="9"/>
      <c r="AC1" s="9"/>
    </row>
    <row r="2" ht="24.0" customHeight="1">
      <c r="A2" s="8" t="s">
        <v>3</v>
      </c>
      <c r="B2" s="2"/>
      <c r="C2" s="2"/>
      <c r="D2" s="2"/>
      <c r="E2" s="2"/>
      <c r="F2" s="2"/>
      <c r="G2" s="2"/>
      <c r="H2" s="3"/>
      <c r="I2" s="61"/>
      <c r="J2" s="9"/>
      <c r="K2" s="9"/>
      <c r="L2" s="9"/>
      <c r="M2" s="9"/>
      <c r="N2" s="9"/>
      <c r="O2" s="9"/>
      <c r="P2" s="9"/>
      <c r="Q2" s="9"/>
      <c r="R2" s="9"/>
      <c r="S2" s="9"/>
      <c r="T2" s="9"/>
      <c r="U2" s="9"/>
      <c r="V2" s="9"/>
      <c r="W2" s="9"/>
      <c r="X2" s="9"/>
      <c r="Y2" s="9"/>
      <c r="Z2" s="9"/>
      <c r="AA2" s="9"/>
      <c r="AB2" s="9"/>
      <c r="AC2" s="9"/>
    </row>
    <row r="3" ht="1.5" customHeight="1">
      <c r="A3" s="63"/>
      <c r="B3" s="63"/>
      <c r="C3" s="63"/>
      <c r="D3" s="63"/>
      <c r="E3" s="63"/>
      <c r="F3" s="63"/>
      <c r="G3" s="63"/>
      <c r="H3" s="63"/>
      <c r="I3" s="61"/>
      <c r="J3" s="9"/>
      <c r="K3" s="9"/>
      <c r="L3" s="9"/>
      <c r="M3" s="9"/>
      <c r="N3" s="9"/>
      <c r="O3" s="9"/>
      <c r="P3" s="9"/>
      <c r="Q3" s="9"/>
      <c r="R3" s="9"/>
      <c r="S3" s="9"/>
      <c r="T3" s="9"/>
      <c r="U3" s="9"/>
      <c r="V3" s="32"/>
      <c r="W3" s="32"/>
      <c r="X3" s="32"/>
      <c r="Y3" s="32"/>
      <c r="Z3" s="32"/>
      <c r="AA3" s="32"/>
      <c r="AB3" s="32"/>
      <c r="AC3" s="32"/>
    </row>
    <row r="4" ht="1.5" customHeight="1">
      <c r="A4" s="63"/>
      <c r="B4" s="63"/>
      <c r="C4" s="63"/>
      <c r="D4" s="63"/>
      <c r="E4" s="63"/>
      <c r="F4" s="63"/>
      <c r="G4" s="63"/>
      <c r="H4" s="63"/>
      <c r="I4" s="61"/>
      <c r="J4" s="9"/>
      <c r="K4" s="9"/>
      <c r="L4" s="9"/>
      <c r="M4" s="9"/>
      <c r="N4" s="9"/>
      <c r="O4" s="9"/>
      <c r="P4" s="9"/>
      <c r="Q4" s="9"/>
      <c r="R4" s="9"/>
      <c r="S4" s="9"/>
      <c r="T4" s="9"/>
      <c r="U4" s="9"/>
      <c r="V4" s="32"/>
      <c r="W4" s="32"/>
      <c r="X4" s="32"/>
      <c r="Y4" s="32"/>
      <c r="Z4" s="32"/>
      <c r="AA4" s="32"/>
      <c r="AB4" s="32"/>
      <c r="AC4" s="32"/>
    </row>
    <row r="5" ht="1.5" customHeight="1">
      <c r="A5" s="63"/>
      <c r="B5" s="63"/>
      <c r="C5" s="63"/>
      <c r="D5" s="63"/>
      <c r="E5" s="63"/>
      <c r="F5" s="63"/>
      <c r="G5" s="63"/>
      <c r="H5" s="63"/>
      <c r="I5" s="61"/>
      <c r="J5" s="9"/>
      <c r="K5" s="9"/>
      <c r="L5" s="9"/>
      <c r="M5" s="9"/>
      <c r="N5" s="9"/>
      <c r="O5" s="9"/>
      <c r="P5" s="9"/>
      <c r="Q5" s="9"/>
      <c r="R5" s="9"/>
      <c r="S5" s="9"/>
      <c r="T5" s="9"/>
      <c r="U5" s="9"/>
      <c r="V5" s="32"/>
      <c r="W5" s="32"/>
      <c r="X5" s="32"/>
      <c r="Y5" s="32"/>
      <c r="Z5" s="32"/>
      <c r="AA5" s="32"/>
      <c r="AB5" s="32"/>
      <c r="AC5" s="32"/>
    </row>
    <row r="6" ht="1.5" customHeight="1">
      <c r="A6" s="63"/>
      <c r="B6" s="63"/>
      <c r="C6" s="63"/>
      <c r="D6" s="63"/>
      <c r="E6" s="63"/>
      <c r="F6" s="63"/>
      <c r="G6" s="63"/>
      <c r="H6" s="63"/>
      <c r="I6" s="61"/>
      <c r="J6" s="9"/>
      <c r="K6" s="9"/>
      <c r="L6" s="9"/>
      <c r="M6" s="9"/>
      <c r="N6" s="9"/>
      <c r="O6" s="9"/>
      <c r="P6" s="9"/>
      <c r="Q6" s="9"/>
      <c r="R6" s="9"/>
      <c r="S6" s="9"/>
      <c r="T6" s="9"/>
      <c r="U6" s="9"/>
      <c r="V6" s="32"/>
      <c r="W6" s="32"/>
      <c r="X6" s="32"/>
      <c r="Y6" s="32"/>
      <c r="Z6" s="32"/>
      <c r="AA6" s="32"/>
      <c r="AB6" s="32"/>
      <c r="AC6" s="32"/>
    </row>
    <row r="7" ht="1.5" customHeight="1">
      <c r="A7" s="63"/>
      <c r="B7" s="63"/>
      <c r="C7" s="63"/>
      <c r="D7" s="63"/>
      <c r="E7" s="63"/>
      <c r="F7" s="63"/>
      <c r="G7" s="63"/>
      <c r="H7" s="63"/>
      <c r="I7" s="61"/>
      <c r="J7" s="9"/>
      <c r="K7" s="9"/>
      <c r="L7" s="9"/>
      <c r="M7" s="9"/>
      <c r="N7" s="9"/>
      <c r="O7" s="9"/>
      <c r="P7" s="9"/>
      <c r="Q7" s="9"/>
      <c r="R7" s="9"/>
      <c r="S7" s="9"/>
      <c r="T7" s="9"/>
      <c r="U7" s="9"/>
      <c r="V7" s="9"/>
      <c r="W7" s="9"/>
      <c r="X7" s="9"/>
      <c r="Y7" s="9"/>
      <c r="Z7" s="9"/>
      <c r="AA7" s="9"/>
      <c r="AB7" s="9"/>
      <c r="AC7" s="9"/>
    </row>
    <row r="8" ht="1.5" customHeight="1">
      <c r="A8" s="63"/>
      <c r="B8" s="63"/>
      <c r="C8" s="63"/>
      <c r="D8" s="63"/>
      <c r="E8" s="63"/>
      <c r="F8" s="63"/>
      <c r="G8" s="63"/>
      <c r="H8" s="63"/>
      <c r="I8" s="61"/>
      <c r="J8" s="9"/>
      <c r="K8" s="9"/>
      <c r="L8" s="9"/>
      <c r="M8" s="9"/>
      <c r="N8" s="9"/>
      <c r="O8" s="9"/>
      <c r="P8" s="9"/>
      <c r="Q8" s="9"/>
      <c r="R8" s="9"/>
      <c r="S8" s="9"/>
      <c r="T8" s="9"/>
      <c r="U8" s="9"/>
      <c r="V8" s="9"/>
      <c r="W8" s="9"/>
      <c r="X8" s="9"/>
      <c r="Y8" s="9"/>
      <c r="Z8" s="9"/>
      <c r="AA8" s="9"/>
      <c r="AB8" s="9"/>
      <c r="AC8" s="9"/>
    </row>
    <row r="9" ht="1.5" customHeight="1">
      <c r="A9" s="63"/>
      <c r="B9" s="63"/>
      <c r="C9" s="63"/>
      <c r="D9" s="63"/>
      <c r="E9" s="63"/>
      <c r="F9" s="63"/>
      <c r="G9" s="63"/>
      <c r="H9" s="63"/>
      <c r="I9" s="61"/>
      <c r="J9" s="9"/>
      <c r="K9" s="9"/>
      <c r="L9" s="9"/>
      <c r="M9" s="9"/>
      <c r="N9" s="9"/>
      <c r="O9" s="9"/>
      <c r="P9" s="9"/>
      <c r="Q9" s="9"/>
      <c r="R9" s="9"/>
      <c r="S9" s="9"/>
      <c r="T9" s="9"/>
      <c r="U9" s="9"/>
      <c r="V9" s="9"/>
      <c r="W9" s="9"/>
      <c r="X9" s="9"/>
      <c r="Y9" s="9"/>
      <c r="Z9" s="9"/>
      <c r="AA9" s="9"/>
      <c r="AB9" s="9"/>
      <c r="AC9" s="9"/>
    </row>
    <row r="10" ht="1.5" customHeight="1">
      <c r="A10" s="63"/>
      <c r="B10" s="63"/>
      <c r="C10" s="63"/>
      <c r="D10" s="63"/>
      <c r="E10" s="63"/>
      <c r="F10" s="63"/>
      <c r="G10" s="63"/>
      <c r="H10" s="63"/>
      <c r="I10" s="61"/>
      <c r="J10" s="9"/>
      <c r="K10" s="9"/>
      <c r="L10" s="9"/>
      <c r="M10" s="9"/>
      <c r="N10" s="9"/>
      <c r="O10" s="9"/>
      <c r="P10" s="9"/>
      <c r="Q10" s="9"/>
      <c r="R10" s="9"/>
      <c r="S10" s="9"/>
      <c r="T10" s="9"/>
      <c r="U10" s="9"/>
      <c r="V10" s="9"/>
      <c r="W10" s="9"/>
      <c r="X10" s="9"/>
      <c r="Y10" s="9"/>
      <c r="Z10" s="9"/>
      <c r="AA10" s="9"/>
      <c r="AB10" s="9"/>
      <c r="AC10" s="9"/>
    </row>
    <row r="11" ht="1.5" customHeight="1">
      <c r="A11" s="63"/>
      <c r="B11" s="63"/>
      <c r="C11" s="63"/>
      <c r="D11" s="63"/>
      <c r="E11" s="63"/>
      <c r="F11" s="63"/>
      <c r="G11" s="63"/>
      <c r="H11" s="63"/>
      <c r="I11" s="61"/>
      <c r="J11" s="9"/>
      <c r="K11" s="9"/>
      <c r="L11" s="9"/>
      <c r="M11" s="9"/>
      <c r="N11" s="9"/>
      <c r="O11" s="9"/>
      <c r="P11" s="9"/>
      <c r="Q11" s="9"/>
      <c r="R11" s="9"/>
      <c r="S11" s="9"/>
      <c r="T11" s="9"/>
      <c r="U11" s="9"/>
      <c r="V11" s="9"/>
      <c r="W11" s="9"/>
      <c r="X11" s="9"/>
      <c r="Y11" s="9"/>
      <c r="Z11" s="9"/>
      <c r="AA11" s="9"/>
      <c r="AB11" s="9"/>
      <c r="AC11" s="9"/>
    </row>
    <row r="12" ht="1.5" customHeight="1">
      <c r="A12" s="63"/>
      <c r="B12" s="63"/>
      <c r="C12" s="63"/>
      <c r="D12" s="63"/>
      <c r="E12" s="63"/>
      <c r="F12" s="63"/>
      <c r="G12" s="63"/>
      <c r="H12" s="63"/>
      <c r="I12" s="61"/>
      <c r="J12" s="9"/>
      <c r="K12" s="9"/>
      <c r="L12" s="9"/>
      <c r="M12" s="9"/>
      <c r="N12" s="9"/>
      <c r="O12" s="9"/>
      <c r="P12" s="9"/>
      <c r="Q12" s="9"/>
      <c r="R12" s="9"/>
      <c r="S12" s="9"/>
      <c r="T12" s="9"/>
      <c r="U12" s="9"/>
      <c r="V12" s="9"/>
      <c r="W12" s="9"/>
      <c r="X12" s="9"/>
      <c r="Y12" s="9"/>
      <c r="Z12" s="9"/>
      <c r="AA12" s="9"/>
      <c r="AB12" s="9"/>
      <c r="AC12" s="9"/>
    </row>
    <row r="13" ht="1.5" customHeight="1">
      <c r="A13" s="63"/>
      <c r="B13" s="63"/>
      <c r="C13" s="63"/>
      <c r="D13" s="63"/>
      <c r="E13" s="63"/>
      <c r="F13" s="63"/>
      <c r="G13" s="63"/>
      <c r="H13" s="63"/>
      <c r="I13" s="61"/>
      <c r="J13" s="9"/>
      <c r="K13" s="9"/>
      <c r="L13" s="9"/>
      <c r="M13" s="9"/>
      <c r="N13" s="9"/>
      <c r="O13" s="9"/>
      <c r="P13" s="9"/>
      <c r="Q13" s="9"/>
      <c r="R13" s="9"/>
      <c r="S13" s="9"/>
      <c r="T13" s="9"/>
      <c r="U13" s="9"/>
      <c r="V13" s="9"/>
      <c r="W13" s="9"/>
      <c r="X13" s="9"/>
      <c r="Y13" s="9"/>
      <c r="Z13" s="9"/>
      <c r="AA13" s="9"/>
      <c r="AB13" s="9"/>
      <c r="AC13" s="9"/>
    </row>
    <row r="14" ht="1.5" customHeight="1">
      <c r="A14" s="63"/>
      <c r="B14" s="63"/>
      <c r="C14" s="63"/>
      <c r="D14" s="63"/>
      <c r="E14" s="63"/>
      <c r="F14" s="63"/>
      <c r="G14" s="63"/>
      <c r="H14" s="63"/>
      <c r="I14" s="61"/>
      <c r="J14" s="9"/>
      <c r="K14" s="9"/>
      <c r="L14" s="9"/>
      <c r="M14" s="9"/>
      <c r="N14" s="9"/>
      <c r="O14" s="9"/>
      <c r="P14" s="9"/>
      <c r="Q14" s="9"/>
      <c r="R14" s="9"/>
      <c r="S14" s="9"/>
      <c r="T14" s="9"/>
      <c r="U14" s="9"/>
      <c r="V14" s="9"/>
      <c r="W14" s="9"/>
      <c r="X14" s="9"/>
      <c r="Y14" s="9"/>
      <c r="Z14" s="9"/>
      <c r="AA14" s="9"/>
      <c r="AB14" s="9"/>
      <c r="AC14" s="9"/>
    </row>
    <row r="15" ht="1.5" customHeight="1">
      <c r="A15" s="63"/>
      <c r="B15" s="63"/>
      <c r="C15" s="63"/>
      <c r="D15" s="63"/>
      <c r="E15" s="63"/>
      <c r="F15" s="63"/>
      <c r="G15" s="63"/>
      <c r="H15" s="63"/>
      <c r="I15" s="61"/>
      <c r="J15" s="9"/>
      <c r="K15" s="9"/>
      <c r="L15" s="9"/>
      <c r="M15" s="9"/>
      <c r="N15" s="9"/>
      <c r="O15" s="9"/>
      <c r="P15" s="9"/>
      <c r="Q15" s="9"/>
      <c r="R15" s="9"/>
      <c r="S15" s="9"/>
      <c r="T15" s="9"/>
      <c r="U15" s="9"/>
      <c r="V15" s="9"/>
      <c r="W15" s="9"/>
      <c r="X15" s="9"/>
      <c r="Y15" s="9"/>
      <c r="Z15" s="9"/>
      <c r="AA15" s="9"/>
      <c r="AB15" s="9"/>
      <c r="AC15" s="9"/>
    </row>
    <row r="16" ht="1.5" customHeight="1">
      <c r="A16" s="63"/>
      <c r="B16" s="63"/>
      <c r="C16" s="63"/>
      <c r="D16" s="63"/>
      <c r="E16" s="63"/>
      <c r="F16" s="63"/>
      <c r="G16" s="63"/>
      <c r="H16" s="63"/>
      <c r="I16" s="61"/>
      <c r="J16" s="9"/>
      <c r="K16" s="9"/>
      <c r="L16" s="9"/>
      <c r="M16" s="9"/>
      <c r="N16" s="9"/>
      <c r="O16" s="9"/>
      <c r="P16" s="9"/>
      <c r="Q16" s="9"/>
      <c r="R16" s="9"/>
      <c r="S16" s="9"/>
      <c r="T16" s="9"/>
      <c r="U16" s="9"/>
      <c r="V16" s="9"/>
      <c r="W16" s="9"/>
      <c r="X16" s="9"/>
      <c r="Y16" s="9"/>
      <c r="Z16" s="9"/>
      <c r="AA16" s="9"/>
      <c r="AB16" s="9"/>
      <c r="AC16" s="9"/>
    </row>
    <row r="17" ht="1.5" customHeight="1">
      <c r="A17" s="63"/>
      <c r="B17" s="63"/>
      <c r="C17" s="63"/>
      <c r="D17" s="63"/>
      <c r="E17" s="63"/>
      <c r="F17" s="63"/>
      <c r="G17" s="63"/>
      <c r="H17" s="63"/>
      <c r="I17" s="61"/>
      <c r="J17" s="9"/>
      <c r="K17" s="9"/>
      <c r="L17" s="9"/>
      <c r="M17" s="9"/>
      <c r="N17" s="9"/>
      <c r="O17" s="9"/>
      <c r="P17" s="9"/>
      <c r="Q17" s="9"/>
      <c r="R17" s="9"/>
      <c r="S17" s="9"/>
      <c r="T17" s="9"/>
      <c r="U17" s="9"/>
      <c r="V17" s="9"/>
      <c r="W17" s="9"/>
      <c r="X17" s="9"/>
      <c r="Y17" s="9"/>
      <c r="Z17" s="9"/>
      <c r="AA17" s="9"/>
      <c r="AB17" s="9"/>
      <c r="AC17" s="9"/>
    </row>
    <row r="18" ht="1.5" customHeight="1">
      <c r="A18" s="63"/>
      <c r="B18" s="63"/>
      <c r="C18" s="63"/>
      <c r="D18" s="63"/>
      <c r="E18" s="63"/>
      <c r="F18" s="63"/>
      <c r="G18" s="63"/>
      <c r="H18" s="63"/>
      <c r="I18" s="61"/>
      <c r="J18" s="9"/>
      <c r="K18" s="9"/>
      <c r="L18" s="9"/>
      <c r="M18" s="9"/>
      <c r="N18" s="9"/>
      <c r="O18" s="9"/>
      <c r="P18" s="9"/>
      <c r="Q18" s="9"/>
      <c r="R18" s="9"/>
      <c r="S18" s="9"/>
      <c r="T18" s="9"/>
      <c r="U18" s="9"/>
      <c r="V18" s="9"/>
      <c r="W18" s="9"/>
      <c r="X18" s="9"/>
      <c r="Y18" s="9"/>
      <c r="Z18" s="9"/>
      <c r="AA18" s="9"/>
      <c r="AB18" s="9"/>
      <c r="AC18" s="9"/>
    </row>
    <row r="19" ht="1.5" customHeight="1">
      <c r="A19" s="63"/>
      <c r="B19" s="63"/>
      <c r="C19" s="63"/>
      <c r="D19" s="63"/>
      <c r="E19" s="63"/>
      <c r="F19" s="63"/>
      <c r="G19" s="63"/>
      <c r="H19" s="63"/>
      <c r="I19" s="61"/>
      <c r="J19" s="9"/>
      <c r="K19" s="9"/>
      <c r="L19" s="9"/>
      <c r="M19" s="9"/>
      <c r="N19" s="9"/>
      <c r="O19" s="9"/>
      <c r="P19" s="9"/>
      <c r="Q19" s="9"/>
      <c r="R19" s="9"/>
      <c r="S19" s="9"/>
      <c r="T19" s="9"/>
      <c r="U19" s="9"/>
      <c r="V19" s="9"/>
      <c r="W19" s="9"/>
      <c r="X19" s="9"/>
      <c r="Y19" s="9"/>
      <c r="Z19" s="9"/>
      <c r="AA19" s="9"/>
      <c r="AB19" s="9"/>
      <c r="AC19" s="9"/>
    </row>
    <row r="20" ht="36.0" customHeight="1">
      <c r="A20" s="18" t="s">
        <v>15</v>
      </c>
      <c r="B20" s="3"/>
      <c r="C20" s="65" t="s">
        <v>150</v>
      </c>
      <c r="D20" s="65" t="s">
        <v>152</v>
      </c>
      <c r="E20" s="65" t="s">
        <v>153</v>
      </c>
      <c r="F20" s="65" t="s">
        <v>154</v>
      </c>
      <c r="G20" s="20" t="s">
        <v>155</v>
      </c>
      <c r="H20" s="65" t="s">
        <v>156</v>
      </c>
      <c r="I20" s="20" t="s">
        <v>157</v>
      </c>
      <c r="J20" s="67"/>
      <c r="K20" s="67"/>
      <c r="L20" s="67"/>
      <c r="M20" s="67"/>
      <c r="N20" s="67"/>
      <c r="O20" s="67"/>
      <c r="P20" s="67"/>
      <c r="Q20" s="67"/>
      <c r="R20" s="67"/>
      <c r="S20" s="67"/>
      <c r="T20" s="67"/>
      <c r="U20" s="67"/>
      <c r="V20" s="67"/>
      <c r="W20" s="67"/>
      <c r="X20" s="67"/>
      <c r="Y20" s="67"/>
      <c r="Z20" s="67"/>
      <c r="AA20" s="67"/>
      <c r="AB20" s="67"/>
      <c r="AC20" s="67"/>
    </row>
    <row r="21" ht="16.5" customHeight="1">
      <c r="A21" s="69"/>
      <c r="B21" s="69"/>
      <c r="C21" s="70"/>
      <c r="D21" s="70"/>
      <c r="E21" s="70"/>
      <c r="F21" s="70"/>
      <c r="G21" s="71"/>
      <c r="H21" s="70"/>
      <c r="I21" s="71"/>
      <c r="J21" s="72"/>
      <c r="K21" s="72"/>
      <c r="L21" s="72"/>
      <c r="M21" s="72"/>
      <c r="N21" s="72"/>
      <c r="O21" s="72"/>
      <c r="P21" s="72"/>
      <c r="Q21" s="72"/>
      <c r="R21" s="72"/>
      <c r="S21" s="72"/>
      <c r="T21" s="72"/>
      <c r="U21" s="72"/>
      <c r="V21" s="72"/>
      <c r="W21" s="72"/>
      <c r="X21" s="72"/>
      <c r="Y21" s="72"/>
      <c r="Z21" s="72"/>
      <c r="AA21" s="72"/>
      <c r="AB21" s="72"/>
      <c r="AC21" s="72"/>
    </row>
    <row r="22" ht="48.0" customHeight="1">
      <c r="A22" s="27" t="s">
        <v>83</v>
      </c>
      <c r="B22" s="27" t="s">
        <v>84</v>
      </c>
      <c r="C22" s="73" t="s">
        <v>160</v>
      </c>
      <c r="D22" s="73" t="s">
        <v>163</v>
      </c>
      <c r="E22" s="73" t="s">
        <v>164</v>
      </c>
      <c r="F22" s="73" t="s">
        <v>165</v>
      </c>
      <c r="G22" s="74" t="s">
        <v>165</v>
      </c>
      <c r="H22" s="73" t="s">
        <v>166</v>
      </c>
      <c r="I22" s="75"/>
      <c r="J22" s="9"/>
      <c r="K22" s="9"/>
      <c r="L22" s="9"/>
      <c r="M22" s="9"/>
      <c r="N22" s="9"/>
      <c r="O22" s="9"/>
      <c r="P22" s="9"/>
      <c r="Q22" s="9"/>
      <c r="R22" s="9"/>
      <c r="S22" s="9"/>
      <c r="T22" s="9"/>
      <c r="U22" s="9"/>
      <c r="V22" s="9"/>
      <c r="W22" s="9"/>
      <c r="X22" s="9"/>
      <c r="Y22" s="9"/>
      <c r="Z22" s="9"/>
      <c r="AA22" s="9"/>
      <c r="AB22" s="9"/>
      <c r="AC22" s="9"/>
    </row>
    <row r="23" ht="48.0" customHeight="1">
      <c r="A23" s="27" t="s">
        <v>86</v>
      </c>
      <c r="B23" s="27" t="s">
        <v>87</v>
      </c>
      <c r="C23" s="73" t="s">
        <v>169</v>
      </c>
      <c r="D23" s="75"/>
      <c r="E23" s="75"/>
      <c r="F23" s="75"/>
      <c r="G23" s="77"/>
      <c r="H23" s="73" t="s">
        <v>170</v>
      </c>
      <c r="I23" s="75"/>
      <c r="J23" s="9"/>
      <c r="K23" s="9"/>
      <c r="L23" s="9"/>
      <c r="M23" s="9"/>
      <c r="N23" s="9"/>
      <c r="O23" s="9"/>
      <c r="P23" s="9"/>
      <c r="Q23" s="9"/>
      <c r="R23" s="9"/>
      <c r="S23" s="9"/>
      <c r="T23" s="9"/>
      <c r="U23" s="9"/>
      <c r="V23" s="9"/>
      <c r="W23" s="9"/>
      <c r="X23" s="9"/>
      <c r="Y23" s="9"/>
      <c r="Z23" s="9"/>
      <c r="AA23" s="9"/>
      <c r="AB23" s="9"/>
      <c r="AC23" s="9"/>
    </row>
    <row r="24" ht="48.0" customHeight="1">
      <c r="A24" s="27" t="s">
        <v>88</v>
      </c>
      <c r="B24" s="27" t="s">
        <v>89</v>
      </c>
      <c r="C24" s="73" t="s">
        <v>160</v>
      </c>
      <c r="D24" s="75"/>
      <c r="E24" s="75"/>
      <c r="F24" s="73" t="s">
        <v>173</v>
      </c>
      <c r="G24" s="74" t="s">
        <v>173</v>
      </c>
      <c r="H24" s="75"/>
      <c r="I24" s="73">
        <v>12.8</v>
      </c>
      <c r="J24" s="9"/>
      <c r="K24" s="9"/>
      <c r="L24" s="9"/>
      <c r="M24" s="9"/>
      <c r="N24" s="9"/>
      <c r="O24" s="9"/>
      <c r="P24" s="9"/>
      <c r="Q24" s="9"/>
      <c r="R24" s="9"/>
      <c r="S24" s="9"/>
      <c r="T24" s="9"/>
      <c r="U24" s="9"/>
      <c r="V24" s="9"/>
      <c r="W24" s="9"/>
      <c r="X24" s="9"/>
      <c r="Y24" s="9"/>
      <c r="Z24" s="9"/>
      <c r="AA24" s="9"/>
      <c r="AB24" s="9"/>
      <c r="AC24" s="9"/>
    </row>
    <row r="25" ht="48.0" customHeight="1">
      <c r="A25" s="27" t="s">
        <v>90</v>
      </c>
      <c r="B25" s="27" t="s">
        <v>91</v>
      </c>
      <c r="C25" s="73" t="s">
        <v>174</v>
      </c>
      <c r="D25" s="75"/>
      <c r="E25" s="73" t="s">
        <v>175</v>
      </c>
      <c r="F25" s="73" t="s">
        <v>176</v>
      </c>
      <c r="G25" s="74" t="s">
        <v>176</v>
      </c>
      <c r="H25" s="73" t="s">
        <v>177</v>
      </c>
      <c r="I25" s="73">
        <v>12.1</v>
      </c>
      <c r="J25" s="9"/>
      <c r="K25" s="9"/>
      <c r="L25" s="9"/>
      <c r="M25" s="9"/>
      <c r="N25" s="9"/>
      <c r="O25" s="9"/>
      <c r="P25" s="9"/>
      <c r="Q25" s="9"/>
      <c r="R25" s="9"/>
      <c r="S25" s="9"/>
      <c r="T25" s="9"/>
      <c r="U25" s="9"/>
      <c r="V25" s="9"/>
      <c r="W25" s="9"/>
      <c r="X25" s="9"/>
      <c r="Y25" s="9"/>
      <c r="Z25" s="9"/>
      <c r="AA25" s="9"/>
      <c r="AB25" s="9"/>
      <c r="AC25" s="9"/>
    </row>
    <row r="26" ht="48.0" customHeight="1">
      <c r="A26" s="27" t="s">
        <v>93</v>
      </c>
      <c r="B26" s="27" t="s">
        <v>94</v>
      </c>
      <c r="C26" s="73" t="s">
        <v>174</v>
      </c>
      <c r="D26" s="75"/>
      <c r="E26" s="73" t="s">
        <v>175</v>
      </c>
      <c r="F26" s="73" t="s">
        <v>176</v>
      </c>
      <c r="G26" s="74" t="s">
        <v>176</v>
      </c>
      <c r="H26" s="73" t="s">
        <v>180</v>
      </c>
      <c r="I26" s="73">
        <v>12.1</v>
      </c>
      <c r="J26" s="9"/>
      <c r="K26" s="9"/>
      <c r="L26" s="9"/>
      <c r="M26" s="9"/>
      <c r="N26" s="9"/>
      <c r="O26" s="9"/>
      <c r="P26" s="9"/>
      <c r="Q26" s="9"/>
      <c r="R26" s="9"/>
      <c r="S26" s="9"/>
      <c r="T26" s="9"/>
      <c r="U26" s="9"/>
      <c r="V26" s="9"/>
      <c r="W26" s="9"/>
      <c r="X26" s="9"/>
      <c r="Y26" s="9"/>
      <c r="Z26" s="9"/>
      <c r="AA26" s="9"/>
      <c r="AB26" s="9"/>
      <c r="AC26" s="9"/>
    </row>
    <row r="27" ht="48.0" customHeight="1">
      <c r="A27" s="27" t="s">
        <v>95</v>
      </c>
      <c r="B27" s="27" t="s">
        <v>96</v>
      </c>
      <c r="C27" s="73" t="s">
        <v>160</v>
      </c>
      <c r="D27" s="75"/>
      <c r="E27" s="73" t="s">
        <v>164</v>
      </c>
      <c r="F27" s="73" t="s">
        <v>165</v>
      </c>
      <c r="G27" s="74" t="s">
        <v>165</v>
      </c>
      <c r="H27" s="73" t="s">
        <v>166</v>
      </c>
      <c r="I27" s="73" t="s">
        <v>181</v>
      </c>
      <c r="J27" s="9"/>
      <c r="K27" s="9"/>
      <c r="L27" s="9"/>
      <c r="M27" s="9"/>
      <c r="N27" s="9"/>
      <c r="O27" s="9"/>
      <c r="P27" s="9"/>
      <c r="Q27" s="9"/>
      <c r="R27" s="9"/>
      <c r="S27" s="9"/>
      <c r="T27" s="9"/>
      <c r="U27" s="9"/>
      <c r="V27" s="9"/>
      <c r="W27" s="9"/>
      <c r="X27" s="9"/>
      <c r="Y27" s="9"/>
      <c r="Z27" s="9"/>
      <c r="AA27" s="9"/>
      <c r="AB27" s="9"/>
      <c r="AC27" s="9"/>
    </row>
    <row r="28" ht="48.0" customHeight="1">
      <c r="A28" s="27" t="s">
        <v>97</v>
      </c>
      <c r="B28" s="27" t="s">
        <v>98</v>
      </c>
      <c r="C28" s="73" t="s">
        <v>182</v>
      </c>
      <c r="D28" s="75"/>
      <c r="E28" s="75"/>
      <c r="F28" s="75"/>
      <c r="G28" s="77"/>
      <c r="H28" s="75"/>
      <c r="I28" s="73" t="s">
        <v>184</v>
      </c>
      <c r="J28" s="9"/>
      <c r="K28" s="9"/>
      <c r="L28" s="9"/>
      <c r="M28" s="9"/>
      <c r="N28" s="9"/>
      <c r="O28" s="9"/>
      <c r="P28" s="9"/>
      <c r="Q28" s="9"/>
      <c r="R28" s="9"/>
      <c r="S28" s="9"/>
      <c r="T28" s="9"/>
      <c r="U28" s="9"/>
      <c r="V28" s="9"/>
      <c r="W28" s="9"/>
      <c r="X28" s="9"/>
      <c r="Y28" s="9"/>
      <c r="Z28" s="9"/>
      <c r="AA28" s="9"/>
      <c r="AB28" s="9"/>
      <c r="AC28" s="9"/>
    </row>
    <row r="29" ht="36.0" customHeight="1">
      <c r="A29" s="18" t="s">
        <v>17</v>
      </c>
      <c r="B29" s="3"/>
      <c r="C29" s="65" t="str">
        <f>$C$20</f>
        <v>CIS Critical Security Controls v6.1</v>
      </c>
      <c r="D29" s="65" t="str">
        <f>$D$20</f>
        <v>HIPAA</v>
      </c>
      <c r="E29" s="65" t="str">
        <f>$E$20</f>
        <v>ISO 27002:2013</v>
      </c>
      <c r="F29" s="65" t="str">
        <f>$F$20</f>
        <v>NIST Cybersecurity Framework</v>
      </c>
      <c r="G29" s="20" t="str">
        <f>$G$20</f>
        <v>NIST SP 800-171r1</v>
      </c>
      <c r="H29" s="65" t="str">
        <f>$H$20</f>
        <v>NIST SP 800-53r4</v>
      </c>
      <c r="I29" s="20" t="s">
        <v>157</v>
      </c>
      <c r="J29" s="67"/>
      <c r="K29" s="67"/>
      <c r="L29" s="67"/>
      <c r="M29" s="67"/>
      <c r="N29" s="67"/>
      <c r="O29" s="67"/>
      <c r="P29" s="67"/>
      <c r="Q29" s="67"/>
      <c r="R29" s="67"/>
      <c r="S29" s="67"/>
      <c r="T29" s="67"/>
      <c r="U29" s="67"/>
      <c r="V29" s="67"/>
      <c r="W29" s="67"/>
      <c r="X29" s="67"/>
      <c r="Y29" s="67"/>
      <c r="Z29" s="67"/>
      <c r="AA29" s="67"/>
      <c r="AB29" s="67"/>
      <c r="AC29" s="67"/>
    </row>
    <row r="30" ht="63.75" customHeight="1">
      <c r="A30" s="27" t="s">
        <v>99</v>
      </c>
      <c r="B30" s="27" t="s">
        <v>100</v>
      </c>
      <c r="C30" s="75"/>
      <c r="D30" s="75"/>
      <c r="E30" s="73" t="s">
        <v>188</v>
      </c>
      <c r="F30" s="75"/>
      <c r="G30" s="77"/>
      <c r="H30" s="73" t="s">
        <v>189</v>
      </c>
      <c r="I30" s="75"/>
      <c r="J30" s="9"/>
      <c r="K30" s="9"/>
      <c r="L30" s="9"/>
      <c r="M30" s="9"/>
      <c r="N30" s="9"/>
      <c r="O30" s="9"/>
      <c r="P30" s="9"/>
      <c r="Q30" s="9"/>
      <c r="R30" s="9"/>
      <c r="S30" s="9"/>
      <c r="T30" s="9"/>
      <c r="U30" s="9"/>
      <c r="V30" s="9"/>
      <c r="W30" s="9"/>
      <c r="X30" s="9"/>
      <c r="Y30" s="9"/>
      <c r="Z30" s="9"/>
      <c r="AA30" s="9"/>
      <c r="AB30" s="9"/>
      <c r="AC30" s="9"/>
    </row>
    <row r="31" ht="48.0" customHeight="1">
      <c r="A31" s="27" t="s">
        <v>102</v>
      </c>
      <c r="B31" s="27" t="s">
        <v>103</v>
      </c>
      <c r="C31" s="75"/>
      <c r="D31" s="75"/>
      <c r="E31" s="73" t="s">
        <v>188</v>
      </c>
      <c r="F31" s="75"/>
      <c r="G31" s="77"/>
      <c r="H31" s="73" t="s">
        <v>190</v>
      </c>
      <c r="I31" s="75"/>
      <c r="J31" s="9"/>
      <c r="K31" s="9"/>
      <c r="L31" s="9"/>
      <c r="M31" s="9"/>
      <c r="N31" s="9"/>
      <c r="O31" s="9"/>
      <c r="P31" s="9"/>
      <c r="Q31" s="9"/>
      <c r="R31" s="9"/>
      <c r="S31" s="9"/>
      <c r="T31" s="9"/>
      <c r="U31" s="9"/>
      <c r="V31" s="9"/>
      <c r="W31" s="9"/>
      <c r="X31" s="9"/>
      <c r="Y31" s="9"/>
      <c r="Z31" s="9"/>
      <c r="AA31" s="9"/>
      <c r="AB31" s="9"/>
      <c r="AC31" s="9"/>
    </row>
    <row r="32" ht="48.0" customHeight="1">
      <c r="A32" s="27" t="s">
        <v>105</v>
      </c>
      <c r="B32" s="27" t="s">
        <v>106</v>
      </c>
      <c r="C32" s="75"/>
      <c r="D32" s="75"/>
      <c r="E32" s="73" t="s">
        <v>188</v>
      </c>
      <c r="F32" s="75"/>
      <c r="G32" s="77"/>
      <c r="H32" s="73" t="s">
        <v>190</v>
      </c>
      <c r="I32" s="75"/>
      <c r="J32" s="9"/>
      <c r="K32" s="9"/>
      <c r="L32" s="9"/>
      <c r="M32" s="9"/>
      <c r="N32" s="9"/>
      <c r="O32" s="9"/>
      <c r="P32" s="9"/>
      <c r="Q32" s="9"/>
      <c r="R32" s="9"/>
      <c r="S32" s="9"/>
      <c r="T32" s="9"/>
      <c r="U32" s="9"/>
      <c r="V32" s="9"/>
      <c r="W32" s="9"/>
      <c r="X32" s="9"/>
      <c r="Y32" s="9"/>
      <c r="Z32" s="9"/>
      <c r="AA32" s="9"/>
      <c r="AB32" s="9"/>
      <c r="AC32" s="9"/>
    </row>
    <row r="33" ht="63.75" customHeight="1">
      <c r="A33" s="27" t="s">
        <v>107</v>
      </c>
      <c r="B33" s="27" t="s">
        <v>108</v>
      </c>
      <c r="C33" s="75"/>
      <c r="D33" s="75"/>
      <c r="E33" s="73" t="s">
        <v>164</v>
      </c>
      <c r="F33" s="75"/>
      <c r="G33" s="77"/>
      <c r="H33" s="73" t="s">
        <v>189</v>
      </c>
      <c r="I33" s="73" t="s">
        <v>193</v>
      </c>
      <c r="J33" s="9"/>
      <c r="K33" s="9"/>
      <c r="L33" s="9"/>
      <c r="M33" s="9"/>
      <c r="N33" s="9"/>
      <c r="O33" s="9"/>
      <c r="P33" s="9"/>
      <c r="Q33" s="9"/>
      <c r="R33" s="9"/>
      <c r="S33" s="9"/>
      <c r="T33" s="9"/>
      <c r="U33" s="9"/>
      <c r="V33" s="9"/>
      <c r="W33" s="9"/>
      <c r="X33" s="9"/>
      <c r="Y33" s="9"/>
      <c r="Z33" s="9"/>
      <c r="AA33" s="9"/>
      <c r="AB33" s="9"/>
      <c r="AC33" s="9"/>
    </row>
    <row r="34" ht="48.0" customHeight="1">
      <c r="A34" s="27" t="s">
        <v>110</v>
      </c>
      <c r="B34" s="27" t="s">
        <v>111</v>
      </c>
      <c r="C34" s="75"/>
      <c r="D34" s="75"/>
      <c r="E34" s="73" t="s">
        <v>164</v>
      </c>
      <c r="F34" s="75"/>
      <c r="G34" s="77"/>
      <c r="H34" s="73" t="s">
        <v>189</v>
      </c>
      <c r="I34" s="75"/>
      <c r="J34" s="9"/>
      <c r="K34" s="9"/>
      <c r="L34" s="9"/>
      <c r="M34" s="9"/>
      <c r="N34" s="9"/>
      <c r="O34" s="9"/>
      <c r="P34" s="9"/>
      <c r="Q34" s="9"/>
      <c r="R34" s="9"/>
      <c r="S34" s="9"/>
      <c r="T34" s="9"/>
      <c r="U34" s="9"/>
      <c r="V34" s="9"/>
      <c r="W34" s="9"/>
      <c r="X34" s="9"/>
      <c r="Y34" s="9"/>
      <c r="Z34" s="9"/>
      <c r="AA34" s="9"/>
      <c r="AB34" s="9"/>
      <c r="AC34" s="9"/>
    </row>
    <row r="35" ht="48.0" customHeight="1">
      <c r="A35" s="27" t="s">
        <v>112</v>
      </c>
      <c r="B35" s="27" t="s">
        <v>113</v>
      </c>
      <c r="C35" s="75"/>
      <c r="D35" s="73" t="s">
        <v>194</v>
      </c>
      <c r="E35" s="73" t="s">
        <v>195</v>
      </c>
      <c r="F35" s="73" t="s">
        <v>165</v>
      </c>
      <c r="G35" s="74" t="s">
        <v>165</v>
      </c>
      <c r="H35" s="73" t="s">
        <v>189</v>
      </c>
      <c r="I35" s="75"/>
      <c r="J35" s="9"/>
      <c r="K35" s="9"/>
      <c r="L35" s="9"/>
      <c r="M35" s="9"/>
      <c r="N35" s="9"/>
      <c r="O35" s="9"/>
      <c r="P35" s="9"/>
      <c r="Q35" s="9"/>
      <c r="R35" s="9"/>
      <c r="S35" s="9"/>
      <c r="T35" s="9"/>
      <c r="U35" s="9"/>
      <c r="V35" s="9"/>
      <c r="W35" s="9"/>
      <c r="X35" s="9"/>
      <c r="Y35" s="9"/>
      <c r="Z35" s="9"/>
      <c r="AA35" s="9"/>
      <c r="AB35" s="9"/>
      <c r="AC35" s="9"/>
    </row>
    <row r="36" ht="36.0" customHeight="1">
      <c r="A36" s="18" t="s">
        <v>19</v>
      </c>
      <c r="B36" s="3"/>
      <c r="C36" s="65" t="str">
        <f>$C$20</f>
        <v>CIS Critical Security Controls v6.1</v>
      </c>
      <c r="D36" s="65" t="str">
        <f>$D$20</f>
        <v>HIPAA</v>
      </c>
      <c r="E36" s="65" t="str">
        <f>$E$20</f>
        <v>ISO 27002:2013</v>
      </c>
      <c r="F36" s="65" t="str">
        <f>$F$20</f>
        <v>NIST Cybersecurity Framework</v>
      </c>
      <c r="G36" s="20" t="str">
        <f>$G$20</f>
        <v>NIST SP 800-171r1</v>
      </c>
      <c r="H36" s="65" t="str">
        <f>$H$20</f>
        <v>NIST SP 800-53r4</v>
      </c>
      <c r="I36" s="20" t="s">
        <v>157</v>
      </c>
      <c r="J36" s="67"/>
      <c r="K36" s="67"/>
      <c r="L36" s="67"/>
      <c r="M36" s="67"/>
      <c r="N36" s="67"/>
      <c r="O36" s="67"/>
      <c r="P36" s="67"/>
      <c r="Q36" s="67"/>
      <c r="R36" s="67"/>
      <c r="S36" s="67"/>
      <c r="T36" s="67"/>
      <c r="U36" s="67"/>
      <c r="V36" s="67"/>
      <c r="W36" s="67"/>
      <c r="X36" s="67"/>
      <c r="Y36" s="67"/>
      <c r="Z36" s="67"/>
      <c r="AA36" s="67"/>
      <c r="AB36" s="67"/>
      <c r="AC36" s="67"/>
    </row>
    <row r="37" ht="54.0" customHeight="1">
      <c r="A37" s="27" t="s">
        <v>115</v>
      </c>
      <c r="B37" s="27" t="s">
        <v>116</v>
      </c>
      <c r="C37" s="75"/>
      <c r="D37" s="75"/>
      <c r="E37" s="75"/>
      <c r="F37" s="75"/>
      <c r="G37" s="77"/>
      <c r="H37" s="75"/>
      <c r="I37" s="73">
        <v>12.8</v>
      </c>
      <c r="J37" s="9"/>
      <c r="K37" s="9"/>
      <c r="L37" s="9"/>
      <c r="M37" s="9"/>
      <c r="N37" s="9"/>
      <c r="O37" s="9"/>
      <c r="P37" s="9"/>
      <c r="Q37" s="9"/>
      <c r="R37" s="9"/>
      <c r="S37" s="9"/>
      <c r="T37" s="9"/>
      <c r="U37" s="9"/>
      <c r="V37" s="9"/>
      <c r="W37" s="9"/>
      <c r="X37" s="9"/>
      <c r="Y37" s="9"/>
      <c r="Z37" s="9"/>
      <c r="AA37" s="9"/>
      <c r="AB37" s="9"/>
      <c r="AC37" s="9"/>
    </row>
    <row r="38" ht="54.0" customHeight="1">
      <c r="A38" s="27" t="s">
        <v>119</v>
      </c>
      <c r="B38" s="27" t="s">
        <v>120</v>
      </c>
      <c r="C38" s="75"/>
      <c r="D38" s="75"/>
      <c r="E38" s="75"/>
      <c r="F38" s="75"/>
      <c r="G38" s="77"/>
      <c r="H38" s="75"/>
      <c r="I38" s="73">
        <v>12.8</v>
      </c>
      <c r="J38" s="9"/>
      <c r="K38" s="9"/>
      <c r="L38" s="9"/>
      <c r="M38" s="9"/>
      <c r="N38" s="9"/>
      <c r="O38" s="9"/>
      <c r="P38" s="9"/>
      <c r="Q38" s="9"/>
      <c r="R38" s="9"/>
      <c r="S38" s="9"/>
      <c r="T38" s="9"/>
      <c r="U38" s="9"/>
      <c r="V38" s="9"/>
      <c r="W38" s="9"/>
      <c r="X38" s="9"/>
      <c r="Y38" s="9"/>
      <c r="Z38" s="9"/>
      <c r="AA38" s="9"/>
      <c r="AB38" s="9"/>
      <c r="AC38" s="9"/>
    </row>
    <row r="39" ht="54.0" customHeight="1">
      <c r="A39" s="27" t="s">
        <v>123</v>
      </c>
      <c r="B39" s="27" t="s">
        <v>124</v>
      </c>
      <c r="C39" s="75"/>
      <c r="D39" s="75"/>
      <c r="E39" s="73" t="s">
        <v>188</v>
      </c>
      <c r="F39" s="75"/>
      <c r="G39" s="77"/>
      <c r="H39" s="75"/>
      <c r="I39" s="73">
        <v>12.8</v>
      </c>
      <c r="J39" s="9"/>
      <c r="K39" s="9"/>
      <c r="L39" s="9"/>
      <c r="M39" s="9"/>
      <c r="N39" s="9"/>
      <c r="O39" s="9"/>
      <c r="P39" s="9"/>
      <c r="Q39" s="9"/>
      <c r="R39" s="9"/>
      <c r="S39" s="9"/>
      <c r="T39" s="9"/>
      <c r="U39" s="9"/>
      <c r="V39" s="9"/>
      <c r="W39" s="9"/>
      <c r="X39" s="9"/>
      <c r="Y39" s="9"/>
      <c r="Z39" s="9"/>
      <c r="AA39" s="9"/>
      <c r="AB39" s="9"/>
      <c r="AC39" s="9"/>
    </row>
    <row r="40" ht="63.75" customHeight="1">
      <c r="A40" s="27" t="s">
        <v>125</v>
      </c>
      <c r="B40" s="82" t="s">
        <v>200</v>
      </c>
      <c r="C40" s="75"/>
      <c r="D40" s="75"/>
      <c r="E40" s="75"/>
      <c r="F40" s="75"/>
      <c r="G40" s="75"/>
      <c r="H40" s="75"/>
      <c r="I40" s="75"/>
      <c r="J40" s="9"/>
      <c r="K40" s="9"/>
      <c r="L40" s="9"/>
      <c r="M40" s="9"/>
      <c r="N40" s="9"/>
      <c r="O40" s="9"/>
      <c r="P40" s="9"/>
      <c r="Q40" s="9"/>
      <c r="R40" s="9"/>
      <c r="S40" s="9"/>
      <c r="T40" s="9"/>
      <c r="U40" s="9"/>
      <c r="V40" s="9"/>
      <c r="W40" s="9"/>
      <c r="X40" s="9"/>
      <c r="Y40" s="9"/>
      <c r="Z40" s="9"/>
      <c r="AA40" s="9"/>
      <c r="AB40" s="9"/>
      <c r="AC40" s="9"/>
    </row>
    <row r="41" ht="54.0" customHeight="1">
      <c r="A41" s="27" t="s">
        <v>128</v>
      </c>
      <c r="B41" s="27" t="s">
        <v>129</v>
      </c>
      <c r="C41" s="75"/>
      <c r="D41" s="75"/>
      <c r="E41" s="73" t="s">
        <v>188</v>
      </c>
      <c r="F41" s="75"/>
      <c r="G41" s="77"/>
      <c r="H41" s="75"/>
      <c r="I41" s="73" t="s">
        <v>203</v>
      </c>
      <c r="J41" s="9"/>
      <c r="K41" s="9"/>
      <c r="L41" s="9"/>
      <c r="M41" s="9"/>
      <c r="N41" s="9"/>
      <c r="O41" s="9"/>
      <c r="P41" s="9"/>
      <c r="Q41" s="9"/>
      <c r="R41" s="9"/>
      <c r="S41" s="9"/>
      <c r="T41" s="9"/>
      <c r="U41" s="9"/>
      <c r="V41" s="9"/>
      <c r="W41" s="9"/>
      <c r="X41" s="9"/>
      <c r="Y41" s="9"/>
      <c r="Z41" s="9"/>
      <c r="AA41" s="9"/>
      <c r="AB41" s="9"/>
      <c r="AC41" s="9"/>
    </row>
    <row r="42" ht="63.75" customHeight="1">
      <c r="A42" s="27" t="s">
        <v>131</v>
      </c>
      <c r="B42" s="27" t="s">
        <v>132</v>
      </c>
      <c r="C42" s="75"/>
      <c r="D42" s="75"/>
      <c r="E42" s="73" t="s">
        <v>206</v>
      </c>
      <c r="F42" s="75"/>
      <c r="G42" s="77"/>
      <c r="H42" s="73" t="s">
        <v>208</v>
      </c>
      <c r="I42" s="73">
        <v>12.8</v>
      </c>
      <c r="J42" s="9"/>
      <c r="K42" s="9"/>
      <c r="L42" s="9"/>
      <c r="M42" s="9"/>
      <c r="N42" s="9"/>
      <c r="O42" s="9"/>
      <c r="P42" s="9"/>
      <c r="Q42" s="9"/>
      <c r="R42" s="9"/>
      <c r="S42" s="9"/>
      <c r="T42" s="9"/>
      <c r="U42" s="9"/>
      <c r="V42" s="9"/>
      <c r="W42" s="9"/>
      <c r="X42" s="9"/>
      <c r="Y42" s="9"/>
      <c r="Z42" s="9"/>
      <c r="AA42" s="9"/>
      <c r="AB42" s="9"/>
      <c r="AC42" s="9"/>
    </row>
    <row r="43" ht="82.5" customHeight="1">
      <c r="A43" s="27" t="s">
        <v>134</v>
      </c>
      <c r="B43" s="27" t="s">
        <v>135</v>
      </c>
      <c r="C43" s="75"/>
      <c r="D43" s="75"/>
      <c r="E43" s="73" t="s">
        <v>188</v>
      </c>
      <c r="F43" s="75"/>
      <c r="G43" s="77"/>
      <c r="H43" s="75"/>
      <c r="I43" s="73">
        <v>12.8</v>
      </c>
      <c r="J43" s="9"/>
      <c r="K43" s="9"/>
      <c r="L43" s="9"/>
      <c r="M43" s="9"/>
      <c r="N43" s="9"/>
      <c r="O43" s="9"/>
      <c r="P43" s="9"/>
      <c r="Q43" s="9"/>
      <c r="R43" s="9"/>
      <c r="S43" s="9"/>
      <c r="T43" s="9"/>
      <c r="U43" s="9"/>
      <c r="V43" s="9"/>
      <c r="W43" s="9"/>
      <c r="X43" s="9"/>
      <c r="Y43" s="9"/>
      <c r="Z43" s="9"/>
      <c r="AA43" s="9"/>
      <c r="AB43" s="9"/>
      <c r="AC43" s="9"/>
    </row>
    <row r="44" ht="36.0" customHeight="1">
      <c r="A44" s="18" t="str">
        <f>IF($C$24="No","Third Parties - Optional based on QUALIFIER response.","Third Parties")</f>
        <v>Third Parties</v>
      </c>
      <c r="B44" s="3"/>
      <c r="C44" s="65" t="str">
        <f>$C$20</f>
        <v>CIS Critical Security Controls v6.1</v>
      </c>
      <c r="D44" s="65" t="str">
        <f>$D$20</f>
        <v>HIPAA</v>
      </c>
      <c r="E44" s="65" t="str">
        <f>$E$20</f>
        <v>ISO 27002:2013</v>
      </c>
      <c r="F44" s="65" t="str">
        <f>$F$20</f>
        <v>NIST Cybersecurity Framework</v>
      </c>
      <c r="G44" s="20" t="str">
        <f>$G$20</f>
        <v>NIST SP 800-171r1</v>
      </c>
      <c r="H44" s="65" t="str">
        <f>$H$20</f>
        <v>NIST SP 800-53r4</v>
      </c>
      <c r="I44" s="20" t="s">
        <v>157</v>
      </c>
      <c r="J44" s="9"/>
      <c r="K44" s="9"/>
      <c r="L44" s="9"/>
      <c r="M44" s="9"/>
      <c r="N44" s="9"/>
      <c r="O44" s="9"/>
      <c r="P44" s="9"/>
      <c r="Q44" s="9"/>
      <c r="R44" s="9"/>
      <c r="S44" s="9"/>
      <c r="T44" s="9"/>
      <c r="U44" s="9"/>
      <c r="V44" s="9"/>
      <c r="W44" s="9"/>
      <c r="X44" s="9"/>
      <c r="Y44" s="9"/>
      <c r="Z44" s="9"/>
      <c r="AA44" s="9"/>
      <c r="AB44" s="9"/>
      <c r="AC44" s="9"/>
    </row>
    <row r="45" ht="96.0" customHeight="1">
      <c r="A45" s="27" t="s">
        <v>137</v>
      </c>
      <c r="B45" s="27" t="s">
        <v>138</v>
      </c>
      <c r="C45" s="73" t="s">
        <v>160</v>
      </c>
      <c r="D45" s="75"/>
      <c r="E45" s="73" t="s">
        <v>211</v>
      </c>
      <c r="F45" s="73" t="s">
        <v>212</v>
      </c>
      <c r="G45" s="74" t="s">
        <v>213</v>
      </c>
      <c r="H45" s="73" t="s">
        <v>214</v>
      </c>
      <c r="I45" s="73">
        <v>12.8</v>
      </c>
      <c r="J45" s="9"/>
      <c r="K45" s="9"/>
      <c r="L45" s="9"/>
      <c r="M45" s="9"/>
      <c r="N45" s="9"/>
      <c r="O45" s="9"/>
      <c r="P45" s="9"/>
      <c r="Q45" s="9"/>
      <c r="R45" s="9"/>
      <c r="S45" s="9"/>
      <c r="T45" s="9"/>
      <c r="U45" s="9"/>
      <c r="V45" s="9"/>
      <c r="W45" s="9"/>
      <c r="X45" s="9"/>
      <c r="Y45" s="9"/>
      <c r="Z45" s="9"/>
      <c r="AA45" s="9"/>
      <c r="AB45" s="9"/>
      <c r="AC45" s="9"/>
    </row>
    <row r="46" ht="79.5" customHeight="1">
      <c r="A46" s="27" t="s">
        <v>140</v>
      </c>
      <c r="B46" s="27" t="s">
        <v>141</v>
      </c>
      <c r="C46" s="73" t="s">
        <v>160</v>
      </c>
      <c r="D46" s="75"/>
      <c r="E46" s="73" t="s">
        <v>211</v>
      </c>
      <c r="F46" s="73" t="s">
        <v>212</v>
      </c>
      <c r="G46" s="74" t="s">
        <v>213</v>
      </c>
      <c r="H46" s="75"/>
      <c r="I46" s="73">
        <v>12.8</v>
      </c>
      <c r="J46" s="9"/>
      <c r="K46" s="9"/>
      <c r="L46" s="9"/>
      <c r="M46" s="9"/>
      <c r="N46" s="9"/>
      <c r="O46" s="9"/>
      <c r="P46" s="9"/>
      <c r="Q46" s="9"/>
      <c r="R46" s="9"/>
      <c r="S46" s="9"/>
      <c r="T46" s="9"/>
      <c r="U46" s="9"/>
      <c r="V46" s="9"/>
      <c r="W46" s="9"/>
      <c r="X46" s="9"/>
      <c r="Y46" s="9"/>
      <c r="Z46" s="9"/>
      <c r="AA46" s="9"/>
      <c r="AB46" s="9"/>
      <c r="AC46" s="9"/>
    </row>
    <row r="47" ht="79.5" customHeight="1">
      <c r="A47" s="27" t="s">
        <v>143</v>
      </c>
      <c r="B47" s="27" t="s">
        <v>144</v>
      </c>
      <c r="C47" s="73" t="s">
        <v>160</v>
      </c>
      <c r="D47" s="75"/>
      <c r="E47" s="73" t="s">
        <v>211</v>
      </c>
      <c r="F47" s="73" t="s">
        <v>165</v>
      </c>
      <c r="G47" s="77"/>
      <c r="H47" s="73" t="s">
        <v>217</v>
      </c>
      <c r="I47" s="73">
        <v>12.8</v>
      </c>
      <c r="J47" s="9"/>
      <c r="K47" s="9"/>
      <c r="L47" s="9"/>
      <c r="M47" s="9"/>
      <c r="N47" s="9"/>
      <c r="O47" s="9"/>
      <c r="P47" s="9"/>
      <c r="Q47" s="9"/>
      <c r="R47" s="9"/>
      <c r="S47" s="9"/>
      <c r="T47" s="9"/>
      <c r="U47" s="9"/>
      <c r="V47" s="9"/>
      <c r="W47" s="9"/>
      <c r="X47" s="9"/>
      <c r="Y47" s="9"/>
      <c r="Z47" s="9"/>
      <c r="AA47" s="9"/>
      <c r="AB47" s="9"/>
      <c r="AC47" s="9"/>
    </row>
    <row r="48" ht="79.5" customHeight="1">
      <c r="A48" s="27" t="s">
        <v>146</v>
      </c>
      <c r="B48" s="27" t="s">
        <v>147</v>
      </c>
      <c r="C48" s="75"/>
      <c r="D48" s="75"/>
      <c r="E48" s="73" t="s">
        <v>211</v>
      </c>
      <c r="F48" s="73" t="s">
        <v>173</v>
      </c>
      <c r="G48" s="77"/>
      <c r="H48" s="73" t="s">
        <v>218</v>
      </c>
      <c r="I48" s="73">
        <v>12.8</v>
      </c>
      <c r="J48" s="9"/>
      <c r="K48" s="9"/>
      <c r="L48" s="9"/>
      <c r="M48" s="9"/>
      <c r="N48" s="9"/>
      <c r="O48" s="9"/>
      <c r="P48" s="9"/>
      <c r="Q48" s="9"/>
      <c r="R48" s="9"/>
      <c r="S48" s="9"/>
      <c r="T48" s="9"/>
      <c r="U48" s="9"/>
      <c r="V48" s="9"/>
      <c r="W48" s="9"/>
      <c r="X48" s="9"/>
      <c r="Y48" s="9"/>
      <c r="Z48" s="9"/>
      <c r="AA48" s="9"/>
      <c r="AB48" s="9"/>
      <c r="AC48" s="9"/>
    </row>
    <row r="49" ht="36.0" customHeight="1">
      <c r="A49" s="18" t="str">
        <f>IF($C$28="","Consulting",IF($C$28="Yes","Consulting - All questions after this section are OPTIONAL.","Consulting - Optional based on QUALIFIER response."))</f>
        <v>Consulting - Optional based on QUALIFIER response.</v>
      </c>
      <c r="B49" s="3"/>
      <c r="C49" s="65" t="str">
        <f>$C$20</f>
        <v>CIS Critical Security Controls v6.1</v>
      </c>
      <c r="D49" s="65" t="str">
        <f>$D$20</f>
        <v>HIPAA</v>
      </c>
      <c r="E49" s="65" t="str">
        <f>$E$20</f>
        <v>ISO 27002:2013</v>
      </c>
      <c r="F49" s="65" t="str">
        <f>$F$20</f>
        <v>NIST Cybersecurity Framework</v>
      </c>
      <c r="G49" s="20" t="str">
        <f>$G$20</f>
        <v>NIST SP 800-171r1</v>
      </c>
      <c r="H49" s="65" t="str">
        <f>$H$20</f>
        <v>NIST SP 800-53r4</v>
      </c>
      <c r="I49" s="20" t="s">
        <v>157</v>
      </c>
      <c r="J49" s="9"/>
      <c r="K49" s="9"/>
      <c r="L49" s="9"/>
      <c r="M49" s="9"/>
      <c r="N49" s="9"/>
      <c r="O49" s="9"/>
      <c r="P49" s="9"/>
      <c r="Q49" s="9"/>
      <c r="R49" s="9"/>
      <c r="S49" s="9"/>
      <c r="T49" s="9"/>
      <c r="U49" s="9"/>
      <c r="V49" s="9"/>
      <c r="W49" s="9"/>
      <c r="X49" s="9"/>
      <c r="Y49" s="9"/>
      <c r="Z49" s="9"/>
      <c r="AA49" s="9"/>
      <c r="AB49" s="9"/>
      <c r="AC49" s="9"/>
    </row>
    <row r="50" ht="36.0" customHeight="1">
      <c r="A50" s="27" t="s">
        <v>149</v>
      </c>
      <c r="B50" s="27" t="s">
        <v>151</v>
      </c>
      <c r="C50" s="75"/>
      <c r="D50" s="75"/>
      <c r="E50" s="73" t="s">
        <v>188</v>
      </c>
      <c r="F50" s="73" t="s">
        <v>173</v>
      </c>
      <c r="G50" s="77"/>
      <c r="H50" s="75"/>
      <c r="I50" s="75"/>
      <c r="J50" s="9"/>
      <c r="K50" s="9"/>
      <c r="L50" s="9"/>
      <c r="M50" s="9"/>
      <c r="N50" s="9"/>
      <c r="O50" s="9"/>
      <c r="P50" s="9"/>
      <c r="Q50" s="9"/>
      <c r="R50" s="9"/>
      <c r="S50" s="9"/>
      <c r="T50" s="9"/>
      <c r="U50" s="9"/>
      <c r="V50" s="9"/>
      <c r="W50" s="9"/>
      <c r="X50" s="9"/>
      <c r="Y50" s="9"/>
      <c r="Z50" s="9"/>
      <c r="AA50" s="9"/>
      <c r="AB50" s="9"/>
      <c r="AC50" s="9"/>
    </row>
    <row r="51" ht="63.0" customHeight="1">
      <c r="A51" s="27" t="s">
        <v>158</v>
      </c>
      <c r="B51" s="27" t="s">
        <v>159</v>
      </c>
      <c r="C51" s="73" t="s">
        <v>182</v>
      </c>
      <c r="D51" s="75"/>
      <c r="E51" s="73" t="s">
        <v>225</v>
      </c>
      <c r="F51" s="73" t="s">
        <v>173</v>
      </c>
      <c r="G51" s="74" t="s">
        <v>226</v>
      </c>
      <c r="H51" s="73" t="s">
        <v>227</v>
      </c>
      <c r="I51" s="75"/>
      <c r="J51" s="9"/>
      <c r="K51" s="9"/>
      <c r="L51" s="9"/>
      <c r="M51" s="9"/>
      <c r="N51" s="9"/>
      <c r="O51" s="9"/>
      <c r="P51" s="9"/>
      <c r="Q51" s="9"/>
      <c r="R51" s="9"/>
      <c r="S51" s="9"/>
      <c r="T51" s="9"/>
      <c r="U51" s="9"/>
      <c r="V51" s="9"/>
      <c r="W51" s="9"/>
      <c r="X51" s="9"/>
      <c r="Y51" s="9"/>
      <c r="Z51" s="9"/>
      <c r="AA51" s="9"/>
      <c r="AB51" s="9"/>
      <c r="AC51" s="9"/>
    </row>
    <row r="52" ht="63.0" customHeight="1">
      <c r="A52" s="27" t="s">
        <v>161</v>
      </c>
      <c r="B52" s="27" t="s">
        <v>162</v>
      </c>
      <c r="C52" s="73" t="s">
        <v>182</v>
      </c>
      <c r="D52" s="75"/>
      <c r="E52" s="73" t="s">
        <v>228</v>
      </c>
      <c r="F52" s="73" t="s">
        <v>173</v>
      </c>
      <c r="G52" s="74" t="s">
        <v>229</v>
      </c>
      <c r="H52" s="75"/>
      <c r="I52" s="75"/>
      <c r="J52" s="9"/>
      <c r="K52" s="9"/>
      <c r="L52" s="9"/>
      <c r="M52" s="9"/>
      <c r="N52" s="9"/>
      <c r="O52" s="9"/>
      <c r="P52" s="9"/>
      <c r="Q52" s="9"/>
      <c r="R52" s="9"/>
      <c r="S52" s="9"/>
      <c r="T52" s="9"/>
      <c r="U52" s="9"/>
      <c r="V52" s="9"/>
      <c r="W52" s="9"/>
      <c r="X52" s="9"/>
      <c r="Y52" s="9"/>
      <c r="Z52" s="9"/>
      <c r="AA52" s="9"/>
      <c r="AB52" s="9"/>
      <c r="AC52" s="9"/>
    </row>
    <row r="53" ht="48.0" customHeight="1">
      <c r="A53" s="27" t="s">
        <v>167</v>
      </c>
      <c r="B53" s="27" t="s">
        <v>168</v>
      </c>
      <c r="C53" s="73" t="s">
        <v>182</v>
      </c>
      <c r="D53" s="75"/>
      <c r="E53" s="75"/>
      <c r="F53" s="73" t="s">
        <v>173</v>
      </c>
      <c r="G53" s="77"/>
      <c r="H53" s="75"/>
      <c r="I53" s="75"/>
      <c r="J53" s="9"/>
      <c r="K53" s="9"/>
      <c r="L53" s="9"/>
      <c r="M53" s="9"/>
      <c r="N53" s="9"/>
      <c r="O53" s="9"/>
      <c r="P53" s="9"/>
      <c r="Q53" s="9"/>
      <c r="R53" s="9"/>
      <c r="S53" s="9"/>
      <c r="T53" s="9"/>
      <c r="U53" s="9"/>
      <c r="V53" s="9"/>
      <c r="W53" s="9"/>
      <c r="X53" s="9"/>
      <c r="Y53" s="9"/>
      <c r="Z53" s="9"/>
      <c r="AA53" s="9"/>
      <c r="AB53" s="9"/>
      <c r="AC53" s="9"/>
    </row>
    <row r="54" ht="48.0" customHeight="1">
      <c r="A54" s="27" t="s">
        <v>171</v>
      </c>
      <c r="B54" s="27" t="s">
        <v>172</v>
      </c>
      <c r="C54" s="73" t="s">
        <v>160</v>
      </c>
      <c r="D54" s="75"/>
      <c r="E54" s="73" t="s">
        <v>164</v>
      </c>
      <c r="F54" s="73" t="s">
        <v>173</v>
      </c>
      <c r="G54" s="77"/>
      <c r="H54" s="75"/>
      <c r="I54" s="75"/>
      <c r="J54" s="9"/>
      <c r="K54" s="9"/>
      <c r="L54" s="9"/>
      <c r="M54" s="9"/>
      <c r="N54" s="9"/>
      <c r="O54" s="9"/>
      <c r="P54" s="9"/>
      <c r="Q54" s="9"/>
      <c r="R54" s="9"/>
      <c r="S54" s="9"/>
      <c r="T54" s="9"/>
      <c r="U54" s="9"/>
      <c r="V54" s="9"/>
      <c r="W54" s="9"/>
      <c r="X54" s="9"/>
      <c r="Y54" s="9"/>
      <c r="Z54" s="9"/>
      <c r="AA54" s="9"/>
      <c r="AB54" s="9"/>
      <c r="AC54" s="9"/>
    </row>
    <row r="55" ht="48.0" customHeight="1">
      <c r="A55" s="27" t="s">
        <v>178</v>
      </c>
      <c r="B55" s="27" t="s">
        <v>179</v>
      </c>
      <c r="C55" s="73" t="s">
        <v>160</v>
      </c>
      <c r="D55" s="75"/>
      <c r="E55" s="73" t="s">
        <v>233</v>
      </c>
      <c r="F55" s="73" t="s">
        <v>173</v>
      </c>
      <c r="G55" s="74" t="s">
        <v>213</v>
      </c>
      <c r="H55" s="73" t="s">
        <v>234</v>
      </c>
      <c r="I55" s="75"/>
      <c r="J55" s="9"/>
      <c r="K55" s="9"/>
      <c r="L55" s="9"/>
      <c r="M55" s="9"/>
      <c r="N55" s="9"/>
      <c r="O55" s="9"/>
      <c r="P55" s="9"/>
      <c r="Q55" s="9"/>
      <c r="R55" s="9"/>
      <c r="S55" s="9"/>
      <c r="T55" s="9"/>
      <c r="U55" s="9"/>
      <c r="V55" s="9"/>
      <c r="W55" s="9"/>
      <c r="X55" s="9"/>
      <c r="Y55" s="9"/>
      <c r="Z55" s="9"/>
      <c r="AA55" s="9"/>
      <c r="AB55" s="9"/>
      <c r="AC55" s="9"/>
    </row>
    <row r="56" ht="48.0" customHeight="1">
      <c r="A56" s="27" t="s">
        <v>183</v>
      </c>
      <c r="B56" s="27" t="s">
        <v>185</v>
      </c>
      <c r="C56" s="73" t="s">
        <v>160</v>
      </c>
      <c r="D56" s="75"/>
      <c r="E56" s="73" t="s">
        <v>236</v>
      </c>
      <c r="F56" s="73" t="s">
        <v>173</v>
      </c>
      <c r="G56" s="74" t="s">
        <v>237</v>
      </c>
      <c r="H56" s="73" t="s">
        <v>234</v>
      </c>
      <c r="I56" s="75"/>
      <c r="J56" s="79"/>
      <c r="K56" s="79"/>
      <c r="L56" s="79"/>
      <c r="M56" s="79"/>
      <c r="N56" s="79"/>
      <c r="O56" s="79"/>
      <c r="P56" s="79"/>
      <c r="Q56" s="79"/>
      <c r="R56" s="79"/>
      <c r="S56" s="79"/>
      <c r="T56" s="79"/>
      <c r="U56" s="79"/>
      <c r="V56" s="79"/>
      <c r="W56" s="79"/>
      <c r="X56" s="79"/>
      <c r="Y56" s="79"/>
      <c r="Z56" s="79"/>
      <c r="AA56" s="79"/>
      <c r="AB56" s="79"/>
      <c r="AC56" s="79"/>
    </row>
    <row r="57" ht="36.0" customHeight="1">
      <c r="A57" s="27" t="s">
        <v>186</v>
      </c>
      <c r="B57" s="27" t="s">
        <v>187</v>
      </c>
      <c r="C57" s="73" t="s">
        <v>182</v>
      </c>
      <c r="D57" s="75"/>
      <c r="E57" s="73" t="s">
        <v>233</v>
      </c>
      <c r="F57" s="73" t="s">
        <v>173</v>
      </c>
      <c r="G57" s="77"/>
      <c r="H57" s="75"/>
      <c r="I57" s="75"/>
      <c r="J57" s="9"/>
      <c r="K57" s="9"/>
      <c r="L57" s="9"/>
      <c r="M57" s="9"/>
      <c r="N57" s="9"/>
      <c r="O57" s="9"/>
      <c r="P57" s="9"/>
      <c r="Q57" s="9"/>
      <c r="R57" s="9"/>
      <c r="S57" s="9"/>
      <c r="T57" s="9"/>
      <c r="U57" s="9"/>
      <c r="V57" s="9"/>
      <c r="W57" s="9"/>
      <c r="X57" s="9"/>
      <c r="Y57" s="9"/>
      <c r="Z57" s="9"/>
      <c r="AA57" s="9"/>
      <c r="AB57" s="9"/>
      <c r="AC57" s="9"/>
    </row>
    <row r="58" ht="36.0" customHeight="1">
      <c r="A58" s="27" t="s">
        <v>191</v>
      </c>
      <c r="B58" s="27" t="s">
        <v>192</v>
      </c>
      <c r="C58" s="75"/>
      <c r="D58" s="75"/>
      <c r="E58" s="73" t="s">
        <v>233</v>
      </c>
      <c r="F58" s="73" t="s">
        <v>173</v>
      </c>
      <c r="G58" s="77"/>
      <c r="H58" s="75"/>
      <c r="I58" s="75"/>
      <c r="J58" s="79"/>
      <c r="K58" s="79"/>
      <c r="L58" s="79"/>
      <c r="M58" s="79"/>
      <c r="N58" s="79"/>
      <c r="O58" s="79"/>
      <c r="P58" s="79"/>
      <c r="Q58" s="79"/>
      <c r="R58" s="79"/>
      <c r="S58" s="79"/>
      <c r="T58" s="79"/>
      <c r="U58" s="79"/>
      <c r="V58" s="79"/>
      <c r="W58" s="79"/>
      <c r="X58" s="79"/>
      <c r="Y58" s="79"/>
      <c r="Z58" s="79"/>
      <c r="AA58" s="79"/>
      <c r="AB58" s="79"/>
      <c r="AC58" s="79"/>
    </row>
    <row r="59" ht="36.0" customHeight="1">
      <c r="A59" s="18" t="str">
        <f>IF($C$28="","Application/Service Security",IF($C$28="Yes","App/Service Security - Optional based on QUALIFIER response.","Application/Service Security"))</f>
        <v>Application/Service Security</v>
      </c>
      <c r="B59" s="3"/>
      <c r="C59" s="65" t="str">
        <f>$C$20</f>
        <v>CIS Critical Security Controls v6.1</v>
      </c>
      <c r="D59" s="65" t="str">
        <f>$D$20</f>
        <v>HIPAA</v>
      </c>
      <c r="E59" s="65" t="str">
        <f>$E$20</f>
        <v>ISO 27002:2013</v>
      </c>
      <c r="F59" s="65" t="str">
        <f>$F$20</f>
        <v>NIST Cybersecurity Framework</v>
      </c>
      <c r="G59" s="20" t="str">
        <f>$G$20</f>
        <v>NIST SP 800-171r1</v>
      </c>
      <c r="H59" s="65" t="str">
        <f>$H$20</f>
        <v>NIST SP 800-53r4</v>
      </c>
      <c r="I59" s="20" t="s">
        <v>157</v>
      </c>
      <c r="J59" s="9"/>
      <c r="K59" s="9"/>
      <c r="L59" s="9"/>
      <c r="M59" s="9"/>
      <c r="N59" s="9"/>
      <c r="O59" s="9"/>
      <c r="P59" s="9"/>
      <c r="Q59" s="9"/>
      <c r="R59" s="9"/>
      <c r="S59" s="9"/>
      <c r="T59" s="9"/>
      <c r="U59" s="9"/>
      <c r="V59" s="9"/>
      <c r="W59" s="9"/>
      <c r="X59" s="9"/>
      <c r="Y59" s="9"/>
      <c r="Z59" s="9"/>
      <c r="AA59" s="9"/>
      <c r="AB59" s="9"/>
      <c r="AC59" s="9"/>
    </row>
    <row r="60" ht="48.75" customHeight="1">
      <c r="A60" s="27" t="s">
        <v>196</v>
      </c>
      <c r="B60" s="81" t="s">
        <v>197</v>
      </c>
      <c r="C60" s="73" t="s">
        <v>169</v>
      </c>
      <c r="D60" s="75"/>
      <c r="E60" s="75"/>
      <c r="F60" s="73" t="s">
        <v>254</v>
      </c>
      <c r="G60" s="77"/>
      <c r="H60" s="75"/>
      <c r="I60" s="75"/>
      <c r="J60" s="9"/>
      <c r="K60" s="9"/>
      <c r="L60" s="9"/>
      <c r="M60" s="9"/>
      <c r="N60" s="9"/>
      <c r="O60" s="9"/>
      <c r="P60" s="9"/>
      <c r="Q60" s="9"/>
      <c r="R60" s="9"/>
      <c r="S60" s="9"/>
      <c r="T60" s="9"/>
      <c r="U60" s="9"/>
      <c r="V60" s="9"/>
      <c r="W60" s="9"/>
      <c r="X60" s="9"/>
      <c r="Y60" s="9"/>
      <c r="Z60" s="9"/>
      <c r="AA60" s="9"/>
      <c r="AB60" s="9"/>
      <c r="AC60" s="9"/>
    </row>
    <row r="61" ht="48.0" customHeight="1">
      <c r="A61" s="27" t="s">
        <v>198</v>
      </c>
      <c r="B61" s="81" t="s">
        <v>199</v>
      </c>
      <c r="C61" s="73" t="s">
        <v>255</v>
      </c>
      <c r="D61" s="75"/>
      <c r="E61" s="73" t="s">
        <v>256</v>
      </c>
      <c r="F61" s="73" t="s">
        <v>254</v>
      </c>
      <c r="G61" s="77"/>
      <c r="H61" s="75"/>
      <c r="I61" s="75"/>
      <c r="J61" s="9"/>
      <c r="K61" s="9"/>
      <c r="L61" s="9"/>
      <c r="M61" s="9"/>
      <c r="N61" s="9"/>
      <c r="O61" s="9"/>
      <c r="P61" s="9"/>
      <c r="Q61" s="9"/>
      <c r="R61" s="9"/>
      <c r="S61" s="9"/>
      <c r="T61" s="9"/>
      <c r="U61" s="9"/>
      <c r="V61" s="9"/>
      <c r="W61" s="9"/>
      <c r="X61" s="9"/>
      <c r="Y61" s="9"/>
      <c r="Z61" s="9"/>
      <c r="AA61" s="9"/>
      <c r="AB61" s="9"/>
      <c r="AC61" s="9"/>
    </row>
    <row r="62" ht="48.0" customHeight="1">
      <c r="A62" s="27" t="s">
        <v>201</v>
      </c>
      <c r="B62" s="81" t="s">
        <v>202</v>
      </c>
      <c r="C62" s="74" t="s">
        <v>182</v>
      </c>
      <c r="D62" s="90"/>
      <c r="E62" s="74">
        <v>6.2</v>
      </c>
      <c r="F62" s="74" t="s">
        <v>264</v>
      </c>
      <c r="G62" s="74" t="s">
        <v>229</v>
      </c>
      <c r="H62" s="74" t="s">
        <v>265</v>
      </c>
      <c r="I62" s="74" t="s">
        <v>266</v>
      </c>
      <c r="J62" s="9"/>
      <c r="K62" s="9"/>
      <c r="L62" s="9"/>
      <c r="M62" s="9"/>
      <c r="N62" s="9"/>
      <c r="O62" s="9"/>
      <c r="P62" s="9"/>
      <c r="Q62" s="9"/>
      <c r="R62" s="9"/>
      <c r="S62" s="9"/>
      <c r="T62" s="9"/>
      <c r="U62" s="9"/>
      <c r="V62" s="9"/>
      <c r="W62" s="9"/>
      <c r="X62" s="9"/>
      <c r="Y62" s="9"/>
      <c r="Z62" s="9"/>
      <c r="AA62" s="9"/>
      <c r="AB62" s="9"/>
      <c r="AC62" s="9"/>
    </row>
    <row r="63" ht="63.75" customHeight="1">
      <c r="A63" s="27" t="s">
        <v>204</v>
      </c>
      <c r="B63" s="81" t="s">
        <v>205</v>
      </c>
      <c r="C63" s="73" t="s">
        <v>267</v>
      </c>
      <c r="D63" s="75"/>
      <c r="E63" s="73" t="s">
        <v>268</v>
      </c>
      <c r="F63" s="73" t="s">
        <v>269</v>
      </c>
      <c r="G63" s="74" t="s">
        <v>270</v>
      </c>
      <c r="H63" s="73" t="s">
        <v>271</v>
      </c>
      <c r="I63" s="74" t="s">
        <v>266</v>
      </c>
      <c r="J63" s="9"/>
      <c r="K63" s="9"/>
      <c r="L63" s="9"/>
      <c r="M63" s="9"/>
      <c r="N63" s="9"/>
      <c r="O63" s="9"/>
      <c r="P63" s="9"/>
      <c r="Q63" s="9"/>
      <c r="R63" s="9"/>
      <c r="S63" s="9"/>
      <c r="T63" s="9"/>
      <c r="U63" s="9"/>
      <c r="V63" s="9"/>
      <c r="W63" s="9"/>
      <c r="X63" s="9"/>
      <c r="Y63" s="9"/>
      <c r="Z63" s="9"/>
      <c r="AA63" s="9"/>
      <c r="AB63" s="9"/>
      <c r="AC63" s="9"/>
    </row>
    <row r="64" ht="63.0" customHeight="1">
      <c r="A64" s="12" t="s">
        <v>209</v>
      </c>
      <c r="B64" s="12" t="s">
        <v>272</v>
      </c>
      <c r="C64" s="73" t="s">
        <v>169</v>
      </c>
      <c r="D64" s="75"/>
      <c r="E64" s="75"/>
      <c r="F64" s="73" t="s">
        <v>254</v>
      </c>
      <c r="G64" s="75"/>
      <c r="H64" s="75"/>
      <c r="I64" s="75"/>
      <c r="J64" s="9"/>
      <c r="K64" s="9"/>
      <c r="L64" s="9"/>
      <c r="M64" s="9"/>
      <c r="N64" s="9"/>
      <c r="O64" s="9"/>
      <c r="P64" s="9"/>
      <c r="Q64" s="9"/>
      <c r="R64" s="9"/>
      <c r="S64" s="9"/>
      <c r="T64" s="9"/>
      <c r="U64" s="9"/>
      <c r="V64" s="9"/>
      <c r="W64" s="9"/>
      <c r="X64" s="9"/>
      <c r="Y64" s="9"/>
      <c r="Z64" s="9"/>
      <c r="AA64" s="9"/>
      <c r="AB64" s="9"/>
      <c r="AC64" s="9"/>
    </row>
    <row r="65" ht="52.5" customHeight="1">
      <c r="A65" s="27" t="s">
        <v>215</v>
      </c>
      <c r="B65" s="81" t="s">
        <v>216</v>
      </c>
      <c r="C65" s="74" t="s">
        <v>274</v>
      </c>
      <c r="D65" s="90"/>
      <c r="E65" s="74">
        <v>6.2</v>
      </c>
      <c r="F65" s="74" t="s">
        <v>275</v>
      </c>
      <c r="G65" s="74" t="s">
        <v>276</v>
      </c>
      <c r="H65" s="74" t="s">
        <v>277</v>
      </c>
      <c r="I65" s="90"/>
      <c r="J65" s="9"/>
      <c r="K65" s="9"/>
      <c r="L65" s="9"/>
      <c r="M65" s="9"/>
      <c r="N65" s="9"/>
      <c r="O65" s="9"/>
      <c r="P65" s="9"/>
      <c r="Q65" s="9"/>
      <c r="R65" s="9"/>
      <c r="S65" s="9"/>
      <c r="T65" s="9"/>
      <c r="U65" s="9"/>
      <c r="V65" s="9"/>
      <c r="W65" s="9"/>
      <c r="X65" s="9"/>
      <c r="Y65" s="9"/>
      <c r="Z65" s="9"/>
      <c r="AA65" s="9"/>
      <c r="AB65" s="9"/>
      <c r="AC65" s="9"/>
    </row>
    <row r="66" ht="79.5" customHeight="1">
      <c r="A66" s="27" t="s">
        <v>219</v>
      </c>
      <c r="B66" s="81" t="s">
        <v>220</v>
      </c>
      <c r="C66" s="74" t="s">
        <v>279</v>
      </c>
      <c r="D66" s="90"/>
      <c r="E66" s="74" t="s">
        <v>280</v>
      </c>
      <c r="F66" s="74" t="s">
        <v>275</v>
      </c>
      <c r="G66" s="90"/>
      <c r="H66" s="74" t="s">
        <v>265</v>
      </c>
      <c r="I66" s="90"/>
      <c r="J66" s="9"/>
      <c r="K66" s="9"/>
      <c r="L66" s="9"/>
      <c r="M66" s="9"/>
      <c r="N66" s="9"/>
      <c r="O66" s="9"/>
      <c r="P66" s="9"/>
      <c r="Q66" s="9"/>
      <c r="R66" s="9"/>
      <c r="S66" s="9"/>
      <c r="T66" s="9"/>
      <c r="U66" s="9"/>
      <c r="V66" s="9"/>
      <c r="W66" s="9"/>
      <c r="X66" s="9"/>
      <c r="Y66" s="9"/>
      <c r="Z66" s="9"/>
      <c r="AA66" s="9"/>
      <c r="AB66" s="9"/>
      <c r="AC66" s="9"/>
    </row>
    <row r="67" ht="79.5" customHeight="1">
      <c r="A67" s="27" t="s">
        <v>223</v>
      </c>
      <c r="B67" s="27" t="s">
        <v>224</v>
      </c>
      <c r="C67" s="90"/>
      <c r="D67" s="90"/>
      <c r="E67" s="74">
        <v>16.0</v>
      </c>
      <c r="F67" s="90"/>
      <c r="G67" s="90"/>
      <c r="H67" s="90"/>
      <c r="I67" s="74" t="s">
        <v>281</v>
      </c>
      <c r="J67" s="79"/>
      <c r="K67" s="79"/>
      <c r="L67" s="79"/>
      <c r="M67" s="79"/>
      <c r="N67" s="79"/>
      <c r="O67" s="79"/>
      <c r="P67" s="79"/>
      <c r="Q67" s="79"/>
      <c r="R67" s="79"/>
      <c r="S67" s="79"/>
      <c r="T67" s="79"/>
      <c r="U67" s="79"/>
      <c r="V67" s="79"/>
      <c r="W67" s="79"/>
      <c r="X67" s="79"/>
      <c r="Y67" s="79"/>
      <c r="Z67" s="79"/>
      <c r="AA67" s="79"/>
      <c r="AB67" s="79"/>
      <c r="AC67" s="79"/>
    </row>
    <row r="68" ht="72.0" customHeight="1">
      <c r="A68" s="27" t="s">
        <v>230</v>
      </c>
      <c r="B68" s="81" t="s">
        <v>231</v>
      </c>
      <c r="C68" s="74" t="s">
        <v>279</v>
      </c>
      <c r="D68" s="90"/>
      <c r="E68" s="74" t="s">
        <v>280</v>
      </c>
      <c r="F68" s="74" t="s">
        <v>286</v>
      </c>
      <c r="G68" s="90"/>
      <c r="H68" s="90"/>
      <c r="I68" s="90"/>
      <c r="J68" s="9"/>
      <c r="K68" s="9"/>
      <c r="L68" s="9"/>
      <c r="M68" s="9"/>
      <c r="N68" s="9"/>
      <c r="O68" s="9"/>
      <c r="P68" s="9"/>
      <c r="Q68" s="9"/>
      <c r="R68" s="9"/>
      <c r="S68" s="9"/>
      <c r="T68" s="9"/>
      <c r="U68" s="9"/>
      <c r="V68" s="9"/>
      <c r="W68" s="9"/>
      <c r="X68" s="9"/>
      <c r="Y68" s="9"/>
      <c r="Z68" s="9"/>
      <c r="AA68" s="9"/>
      <c r="AB68" s="9"/>
      <c r="AC68" s="9"/>
    </row>
    <row r="69" ht="63.75" customHeight="1">
      <c r="A69" s="27" t="s">
        <v>238</v>
      </c>
      <c r="B69" s="81" t="s">
        <v>239</v>
      </c>
      <c r="C69" s="74" t="s">
        <v>279</v>
      </c>
      <c r="D69" s="90"/>
      <c r="E69" s="74" t="s">
        <v>287</v>
      </c>
      <c r="F69" s="74" t="s">
        <v>288</v>
      </c>
      <c r="G69" s="90"/>
      <c r="H69" s="74" t="s">
        <v>289</v>
      </c>
      <c r="I69" s="74">
        <v>2.4</v>
      </c>
      <c r="J69" s="9"/>
      <c r="K69" s="9"/>
      <c r="L69" s="9"/>
      <c r="M69" s="9"/>
      <c r="N69" s="9"/>
      <c r="O69" s="9"/>
      <c r="P69" s="9"/>
      <c r="Q69" s="9"/>
      <c r="R69" s="9"/>
      <c r="S69" s="9"/>
      <c r="T69" s="9"/>
      <c r="U69" s="9"/>
      <c r="V69" s="9"/>
      <c r="W69" s="9"/>
      <c r="X69" s="9"/>
      <c r="Y69" s="9"/>
      <c r="Z69" s="9"/>
      <c r="AA69" s="9"/>
      <c r="AB69" s="9"/>
      <c r="AC69" s="9"/>
    </row>
    <row r="70" ht="63.75" customHeight="1">
      <c r="A70" s="27" t="s">
        <v>241</v>
      </c>
      <c r="B70" s="81" t="s">
        <v>242</v>
      </c>
      <c r="C70" s="74" t="s">
        <v>160</v>
      </c>
      <c r="D70" s="90"/>
      <c r="E70" s="74" t="s">
        <v>290</v>
      </c>
      <c r="F70" s="90"/>
      <c r="G70" s="90"/>
      <c r="H70" s="90"/>
      <c r="I70" s="90"/>
      <c r="J70" s="9"/>
      <c r="K70" s="9"/>
      <c r="L70" s="9"/>
      <c r="M70" s="9"/>
      <c r="N70" s="9"/>
      <c r="O70" s="9"/>
      <c r="P70" s="9"/>
      <c r="Q70" s="9"/>
      <c r="R70" s="9"/>
      <c r="S70" s="9"/>
      <c r="T70" s="9"/>
      <c r="U70" s="9"/>
      <c r="V70" s="9"/>
      <c r="W70" s="9"/>
      <c r="X70" s="9"/>
      <c r="Y70" s="9"/>
      <c r="Z70" s="9"/>
      <c r="AA70" s="9"/>
      <c r="AB70" s="9"/>
      <c r="AC70" s="9"/>
    </row>
    <row r="71" ht="48.0" customHeight="1">
      <c r="A71" s="27" t="s">
        <v>244</v>
      </c>
      <c r="B71" s="81" t="s">
        <v>245</v>
      </c>
      <c r="C71" s="74" t="s">
        <v>291</v>
      </c>
      <c r="D71" s="90"/>
      <c r="E71" s="74" t="s">
        <v>287</v>
      </c>
      <c r="F71" s="90"/>
      <c r="G71" s="90"/>
      <c r="H71" s="90"/>
      <c r="I71" s="90"/>
      <c r="J71" s="9"/>
      <c r="K71" s="9"/>
      <c r="L71" s="9"/>
      <c r="M71" s="9"/>
      <c r="N71" s="9"/>
      <c r="O71" s="9"/>
      <c r="P71" s="9"/>
      <c r="Q71" s="9"/>
      <c r="R71" s="9"/>
      <c r="S71" s="9"/>
      <c r="T71" s="9"/>
      <c r="U71" s="9"/>
      <c r="V71" s="9"/>
      <c r="W71" s="9"/>
      <c r="X71" s="9"/>
      <c r="Y71" s="9"/>
      <c r="Z71" s="9"/>
      <c r="AA71" s="9"/>
      <c r="AB71" s="9"/>
      <c r="AC71" s="9"/>
    </row>
    <row r="72" ht="64.5" customHeight="1">
      <c r="A72" s="27" t="s">
        <v>248</v>
      </c>
      <c r="B72" s="81" t="s">
        <v>292</v>
      </c>
      <c r="C72" s="74" t="s">
        <v>291</v>
      </c>
      <c r="D72" s="90"/>
      <c r="E72" s="74" t="s">
        <v>280</v>
      </c>
      <c r="F72" s="90"/>
      <c r="G72" s="90"/>
      <c r="H72" s="90"/>
      <c r="I72" s="90"/>
      <c r="J72" s="9"/>
      <c r="K72" s="9"/>
      <c r="L72" s="9"/>
      <c r="M72" s="9"/>
      <c r="N72" s="9"/>
      <c r="O72" s="9"/>
      <c r="P72" s="9"/>
      <c r="Q72" s="9"/>
      <c r="R72" s="9"/>
      <c r="S72" s="9"/>
      <c r="T72" s="9"/>
      <c r="U72" s="9"/>
      <c r="V72" s="9"/>
      <c r="W72" s="9"/>
      <c r="X72" s="9"/>
      <c r="Y72" s="9"/>
      <c r="Z72" s="9"/>
      <c r="AA72" s="9"/>
      <c r="AB72" s="9"/>
      <c r="AC72" s="9"/>
    </row>
    <row r="73" ht="64.5" customHeight="1">
      <c r="A73" s="27" t="s">
        <v>251</v>
      </c>
      <c r="B73" s="81" t="s">
        <v>252</v>
      </c>
      <c r="C73" s="74" t="s">
        <v>279</v>
      </c>
      <c r="D73" s="90"/>
      <c r="E73" s="90"/>
      <c r="F73" s="90"/>
      <c r="G73" s="90"/>
      <c r="H73" s="90"/>
      <c r="I73" s="90"/>
      <c r="J73" s="9"/>
      <c r="K73" s="9"/>
      <c r="L73" s="9"/>
      <c r="M73" s="9"/>
      <c r="N73" s="9"/>
      <c r="O73" s="9"/>
      <c r="P73" s="9"/>
      <c r="Q73" s="9"/>
      <c r="R73" s="9"/>
      <c r="S73" s="9"/>
      <c r="T73" s="9"/>
      <c r="U73" s="9"/>
      <c r="V73" s="9"/>
      <c r="W73" s="9"/>
      <c r="X73" s="9"/>
      <c r="Y73" s="9"/>
      <c r="Z73" s="9"/>
      <c r="AA73" s="9"/>
      <c r="AB73" s="9"/>
      <c r="AC73" s="9"/>
    </row>
    <row r="74" ht="63.0" customHeight="1">
      <c r="A74" s="27" t="s">
        <v>257</v>
      </c>
      <c r="B74" s="81" t="s">
        <v>258</v>
      </c>
      <c r="C74" s="74" t="s">
        <v>182</v>
      </c>
      <c r="D74" s="90"/>
      <c r="E74" s="74" t="s">
        <v>295</v>
      </c>
      <c r="F74" s="74" t="s">
        <v>269</v>
      </c>
      <c r="G74" s="74" t="s">
        <v>296</v>
      </c>
      <c r="H74" s="74" t="s">
        <v>297</v>
      </c>
      <c r="I74" s="74" t="s">
        <v>298</v>
      </c>
      <c r="J74" s="9"/>
      <c r="K74" s="9"/>
      <c r="L74" s="9"/>
      <c r="M74" s="9"/>
      <c r="N74" s="9"/>
      <c r="O74" s="9"/>
      <c r="P74" s="9"/>
      <c r="Q74" s="9"/>
      <c r="R74" s="9"/>
      <c r="S74" s="9"/>
      <c r="T74" s="9"/>
      <c r="U74" s="9"/>
      <c r="V74" s="9"/>
      <c r="W74" s="9"/>
      <c r="X74" s="9"/>
      <c r="Y74" s="9"/>
      <c r="Z74" s="9"/>
      <c r="AA74" s="9"/>
      <c r="AB74" s="9"/>
      <c r="AC74" s="9"/>
    </row>
    <row r="75" ht="64.5" customHeight="1">
      <c r="A75" s="27" t="s">
        <v>261</v>
      </c>
      <c r="B75" s="81" t="s">
        <v>262</v>
      </c>
      <c r="C75" s="74" t="s">
        <v>299</v>
      </c>
      <c r="D75" s="90"/>
      <c r="E75" s="74">
        <v>9.2</v>
      </c>
      <c r="F75" s="74" t="s">
        <v>269</v>
      </c>
      <c r="G75" s="74" t="s">
        <v>302</v>
      </c>
      <c r="H75" s="74" t="s">
        <v>303</v>
      </c>
      <c r="I75" s="74" t="s">
        <v>304</v>
      </c>
      <c r="J75" s="9"/>
      <c r="K75" s="9"/>
      <c r="L75" s="9"/>
      <c r="M75" s="9"/>
      <c r="N75" s="9"/>
      <c r="O75" s="9"/>
      <c r="P75" s="9"/>
      <c r="Q75" s="9"/>
      <c r="R75" s="9"/>
      <c r="S75" s="9"/>
      <c r="T75" s="9"/>
      <c r="U75" s="9"/>
      <c r="V75" s="9"/>
      <c r="W75" s="9"/>
      <c r="X75" s="9"/>
      <c r="Y75" s="9"/>
      <c r="Z75" s="9"/>
      <c r="AA75" s="9"/>
      <c r="AB75" s="9"/>
      <c r="AC75" s="9"/>
    </row>
    <row r="76" ht="64.5" customHeight="1">
      <c r="A76" s="27" t="s">
        <v>278</v>
      </c>
      <c r="B76" s="81" t="s">
        <v>210</v>
      </c>
      <c r="C76" s="74" t="s">
        <v>182</v>
      </c>
      <c r="D76" s="90"/>
      <c r="E76" s="74" t="s">
        <v>268</v>
      </c>
      <c r="F76" s="74" t="s">
        <v>305</v>
      </c>
      <c r="G76" s="74" t="s">
        <v>229</v>
      </c>
      <c r="H76" s="90"/>
      <c r="I76" s="90"/>
      <c r="J76" s="9"/>
      <c r="K76" s="9"/>
      <c r="L76" s="9"/>
      <c r="M76" s="9"/>
      <c r="N76" s="9"/>
      <c r="O76" s="9"/>
      <c r="P76" s="9"/>
      <c r="Q76" s="9"/>
      <c r="R76" s="9"/>
      <c r="S76" s="9"/>
      <c r="T76" s="9"/>
      <c r="U76" s="9"/>
      <c r="V76" s="9"/>
      <c r="W76" s="9"/>
      <c r="X76" s="9"/>
      <c r="Y76" s="9"/>
      <c r="Z76" s="9"/>
      <c r="AA76" s="9"/>
      <c r="AB76" s="9"/>
      <c r="AC76" s="9"/>
    </row>
    <row r="77" ht="54.0" customHeight="1">
      <c r="A77" s="27" t="s">
        <v>282</v>
      </c>
      <c r="B77" s="81" t="s">
        <v>283</v>
      </c>
      <c r="C77" s="90"/>
      <c r="D77" s="90"/>
      <c r="E77" s="90"/>
      <c r="F77" s="90"/>
      <c r="G77" s="90"/>
      <c r="H77" s="90"/>
      <c r="I77" s="74" t="s">
        <v>306</v>
      </c>
      <c r="J77" s="9"/>
      <c r="K77" s="9"/>
      <c r="L77" s="9"/>
      <c r="M77" s="9"/>
      <c r="N77" s="9"/>
      <c r="O77" s="9"/>
      <c r="P77" s="9"/>
      <c r="Q77" s="9"/>
      <c r="R77" s="9"/>
      <c r="S77" s="9"/>
      <c r="T77" s="9"/>
      <c r="U77" s="9"/>
      <c r="V77" s="9"/>
      <c r="W77" s="9"/>
      <c r="X77" s="9"/>
      <c r="Y77" s="9"/>
      <c r="Z77" s="9"/>
      <c r="AA77" s="9"/>
      <c r="AB77" s="9"/>
      <c r="AC77" s="9"/>
    </row>
    <row r="78" ht="36.0" customHeight="1">
      <c r="A78" s="18" t="str">
        <f>IF($C$28="","Authentication, Authorization, and Accounting",IF($C$28="Yes","AAA - Optional based on QUALIFIER response.","Authentication, Authorization, and Accounting"))</f>
        <v>Authentication, Authorization, and Accounting</v>
      </c>
      <c r="B78" s="3"/>
      <c r="C78" s="65" t="str">
        <f>$C$20</f>
        <v>CIS Critical Security Controls v6.1</v>
      </c>
      <c r="D78" s="65" t="str">
        <f>$D$20</f>
        <v>HIPAA</v>
      </c>
      <c r="E78" s="65" t="str">
        <f>$E$20</f>
        <v>ISO 27002:2013</v>
      </c>
      <c r="F78" s="65" t="str">
        <f>$F$20</f>
        <v>NIST Cybersecurity Framework</v>
      </c>
      <c r="G78" s="20" t="str">
        <f>$G$20</f>
        <v>NIST SP 800-171r1</v>
      </c>
      <c r="H78" s="65" t="str">
        <f>$H$20</f>
        <v>NIST SP 800-53r4</v>
      </c>
      <c r="I78" s="20" t="s">
        <v>157</v>
      </c>
      <c r="J78" s="9"/>
      <c r="K78" s="9"/>
      <c r="L78" s="9"/>
      <c r="M78" s="9"/>
      <c r="N78" s="9"/>
      <c r="O78" s="9"/>
      <c r="P78" s="9"/>
      <c r="Q78" s="9"/>
      <c r="R78" s="9"/>
      <c r="S78" s="9"/>
      <c r="T78" s="9"/>
      <c r="U78" s="9"/>
      <c r="V78" s="9"/>
      <c r="W78" s="9"/>
      <c r="X78" s="9"/>
      <c r="Y78" s="9"/>
      <c r="Z78" s="9"/>
      <c r="AA78" s="9"/>
      <c r="AB78" s="9"/>
      <c r="AC78" s="9"/>
    </row>
    <row r="79" ht="36.0" customHeight="1">
      <c r="A79" s="27" t="s">
        <v>293</v>
      </c>
      <c r="B79" s="27" t="s">
        <v>294</v>
      </c>
      <c r="C79" s="73" t="s">
        <v>318</v>
      </c>
      <c r="D79" s="93"/>
      <c r="E79" s="73" t="s">
        <v>321</v>
      </c>
      <c r="F79" s="73" t="s">
        <v>322</v>
      </c>
      <c r="G79" s="74" t="s">
        <v>323</v>
      </c>
      <c r="H79" s="73" t="s">
        <v>324</v>
      </c>
      <c r="I79" s="73" t="s">
        <v>325</v>
      </c>
      <c r="J79" s="9"/>
      <c r="K79" s="9"/>
      <c r="L79" s="9"/>
      <c r="M79" s="9"/>
      <c r="N79" s="9"/>
      <c r="O79" s="9"/>
      <c r="P79" s="9"/>
      <c r="Q79" s="9"/>
      <c r="R79" s="9"/>
      <c r="S79" s="9"/>
      <c r="T79" s="9"/>
      <c r="U79" s="9"/>
      <c r="V79" s="9"/>
      <c r="W79" s="9"/>
      <c r="X79" s="9"/>
      <c r="Y79" s="9"/>
      <c r="Z79" s="9"/>
      <c r="AA79" s="9"/>
      <c r="AB79" s="9"/>
      <c r="AC79" s="9"/>
    </row>
    <row r="80" ht="48.0" customHeight="1">
      <c r="A80" s="27" t="s">
        <v>300</v>
      </c>
      <c r="B80" s="27" t="s">
        <v>301</v>
      </c>
      <c r="C80" s="73" t="s">
        <v>318</v>
      </c>
      <c r="D80" s="93"/>
      <c r="E80" s="73" t="s">
        <v>321</v>
      </c>
      <c r="F80" s="73" t="s">
        <v>322</v>
      </c>
      <c r="G80" s="74" t="s">
        <v>326</v>
      </c>
      <c r="H80" s="73" t="s">
        <v>327</v>
      </c>
      <c r="I80" s="73" t="s">
        <v>325</v>
      </c>
      <c r="J80" s="9"/>
      <c r="K80" s="9"/>
      <c r="L80" s="9"/>
      <c r="M80" s="9"/>
      <c r="N80" s="9"/>
      <c r="O80" s="9"/>
      <c r="P80" s="9"/>
      <c r="Q80" s="9"/>
      <c r="R80" s="9"/>
      <c r="S80" s="9"/>
      <c r="T80" s="9"/>
      <c r="U80" s="9"/>
      <c r="V80" s="9"/>
      <c r="W80" s="9"/>
      <c r="X80" s="9"/>
      <c r="Y80" s="9"/>
      <c r="Z80" s="9"/>
      <c r="AA80" s="9"/>
      <c r="AB80" s="9"/>
      <c r="AC80" s="9"/>
    </row>
    <row r="81" ht="48.0" customHeight="1">
      <c r="A81" s="27" t="s">
        <v>307</v>
      </c>
      <c r="B81" s="27" t="s">
        <v>308</v>
      </c>
      <c r="C81" s="73" t="s">
        <v>318</v>
      </c>
      <c r="D81" s="93"/>
      <c r="E81" s="73" t="s">
        <v>321</v>
      </c>
      <c r="F81" s="73" t="s">
        <v>322</v>
      </c>
      <c r="G81" s="77"/>
      <c r="H81" s="75"/>
      <c r="I81" s="73" t="s">
        <v>325</v>
      </c>
      <c r="J81" s="9"/>
      <c r="K81" s="9"/>
      <c r="L81" s="9"/>
      <c r="M81" s="9"/>
      <c r="N81" s="9"/>
      <c r="O81" s="9"/>
      <c r="P81" s="9"/>
      <c r="Q81" s="9"/>
      <c r="R81" s="9"/>
      <c r="S81" s="9"/>
      <c r="T81" s="9"/>
      <c r="U81" s="9"/>
      <c r="V81" s="9"/>
      <c r="W81" s="9"/>
      <c r="X81" s="9"/>
      <c r="Y81" s="9"/>
      <c r="Z81" s="9"/>
      <c r="AA81" s="9"/>
      <c r="AB81" s="9"/>
      <c r="AC81" s="9"/>
    </row>
    <row r="82" ht="64.5" customHeight="1">
      <c r="A82" s="27" t="s">
        <v>310</v>
      </c>
      <c r="B82" s="27" t="s">
        <v>311</v>
      </c>
      <c r="C82" s="73" t="s">
        <v>318</v>
      </c>
      <c r="D82" s="93"/>
      <c r="E82" s="73" t="s">
        <v>321</v>
      </c>
      <c r="F82" s="73" t="s">
        <v>322</v>
      </c>
      <c r="G82" s="74" t="s">
        <v>330</v>
      </c>
      <c r="H82" s="73" t="s">
        <v>324</v>
      </c>
      <c r="I82" s="73" t="s">
        <v>331</v>
      </c>
      <c r="J82" s="9"/>
      <c r="K82" s="9"/>
      <c r="L82" s="9"/>
      <c r="M82" s="9"/>
      <c r="N82" s="9"/>
      <c r="O82" s="9"/>
      <c r="P82" s="9"/>
      <c r="Q82" s="9"/>
      <c r="R82" s="9"/>
      <c r="S82" s="9"/>
      <c r="T82" s="9"/>
      <c r="U82" s="9"/>
      <c r="V82" s="9"/>
      <c r="W82" s="9"/>
      <c r="X82" s="9"/>
      <c r="Y82" s="9"/>
      <c r="Z82" s="9"/>
      <c r="AA82" s="9"/>
      <c r="AB82" s="9"/>
      <c r="AC82" s="9"/>
    </row>
    <row r="83" ht="64.5" customHeight="1">
      <c r="A83" s="27" t="s">
        <v>313</v>
      </c>
      <c r="B83" s="27" t="s">
        <v>333</v>
      </c>
      <c r="C83" s="73" t="s">
        <v>318</v>
      </c>
      <c r="D83" s="93"/>
      <c r="E83" s="73" t="s">
        <v>335</v>
      </c>
      <c r="F83" s="73" t="s">
        <v>322</v>
      </c>
      <c r="G83" s="74" t="s">
        <v>337</v>
      </c>
      <c r="H83" s="73" t="s">
        <v>338</v>
      </c>
      <c r="I83" s="73" t="s">
        <v>325</v>
      </c>
      <c r="J83" s="9"/>
      <c r="K83" s="9"/>
      <c r="L83" s="9"/>
      <c r="M83" s="9"/>
      <c r="N83" s="9"/>
      <c r="O83" s="9"/>
      <c r="P83" s="9"/>
      <c r="Q83" s="9"/>
      <c r="R83" s="9"/>
      <c r="S83" s="9"/>
      <c r="T83" s="9"/>
      <c r="U83" s="9"/>
      <c r="V83" s="9"/>
      <c r="W83" s="9"/>
      <c r="X83" s="9"/>
      <c r="Y83" s="9"/>
      <c r="Z83" s="9"/>
      <c r="AA83" s="9"/>
      <c r="AB83" s="9"/>
      <c r="AC83" s="9"/>
    </row>
    <row r="84" ht="48.0" customHeight="1">
      <c r="A84" s="27" t="s">
        <v>316</v>
      </c>
      <c r="B84" s="27" t="s">
        <v>317</v>
      </c>
      <c r="C84" s="73" t="s">
        <v>318</v>
      </c>
      <c r="D84" s="93"/>
      <c r="E84" s="73" t="s">
        <v>233</v>
      </c>
      <c r="F84" s="75"/>
      <c r="G84" s="77"/>
      <c r="H84" s="75"/>
      <c r="I84" s="73" t="s">
        <v>331</v>
      </c>
      <c r="J84" s="9"/>
      <c r="K84" s="9"/>
      <c r="L84" s="9"/>
      <c r="M84" s="9"/>
      <c r="N84" s="9"/>
      <c r="O84" s="9"/>
      <c r="P84" s="9"/>
      <c r="Q84" s="9"/>
      <c r="R84" s="9"/>
      <c r="S84" s="9"/>
      <c r="T84" s="9"/>
      <c r="U84" s="9"/>
      <c r="V84" s="9"/>
      <c r="W84" s="9"/>
      <c r="X84" s="9"/>
      <c r="Y84" s="9"/>
      <c r="Z84" s="9"/>
      <c r="AA84" s="9"/>
      <c r="AB84" s="9"/>
      <c r="AC84" s="9"/>
    </row>
    <row r="85" ht="36.0" customHeight="1">
      <c r="A85" s="27" t="s">
        <v>319</v>
      </c>
      <c r="B85" s="27" t="s">
        <v>320</v>
      </c>
      <c r="C85" s="73" t="s">
        <v>318</v>
      </c>
      <c r="D85" s="93"/>
      <c r="E85" s="73" t="s">
        <v>233</v>
      </c>
      <c r="F85" s="73" t="s">
        <v>322</v>
      </c>
      <c r="G85" s="77"/>
      <c r="H85" s="75"/>
      <c r="I85" s="73" t="s">
        <v>325</v>
      </c>
      <c r="J85" s="9"/>
      <c r="K85" s="9"/>
      <c r="L85" s="9"/>
      <c r="M85" s="9"/>
      <c r="N85" s="9"/>
      <c r="O85" s="9"/>
      <c r="P85" s="9"/>
      <c r="Q85" s="9"/>
      <c r="R85" s="9"/>
      <c r="S85" s="9"/>
      <c r="T85" s="9"/>
      <c r="U85" s="9"/>
      <c r="V85" s="9"/>
      <c r="W85" s="9"/>
      <c r="X85" s="9"/>
      <c r="Y85" s="9"/>
      <c r="Z85" s="9"/>
      <c r="AA85" s="9"/>
      <c r="AB85" s="9"/>
      <c r="AC85" s="9"/>
    </row>
    <row r="86" ht="36.0" customHeight="1">
      <c r="A86" s="27" t="s">
        <v>328</v>
      </c>
      <c r="B86" s="27" t="s">
        <v>329</v>
      </c>
      <c r="C86" s="73" t="s">
        <v>318</v>
      </c>
      <c r="D86" s="93"/>
      <c r="E86" s="73" t="s">
        <v>233</v>
      </c>
      <c r="F86" s="73" t="s">
        <v>322</v>
      </c>
      <c r="G86" s="74" t="s">
        <v>342</v>
      </c>
      <c r="H86" s="73" t="s">
        <v>327</v>
      </c>
      <c r="I86" s="73" t="s">
        <v>325</v>
      </c>
      <c r="J86" s="9"/>
      <c r="K86" s="9"/>
      <c r="L86" s="9"/>
      <c r="M86" s="9"/>
      <c r="N86" s="9"/>
      <c r="O86" s="9"/>
      <c r="P86" s="9"/>
      <c r="Q86" s="9"/>
      <c r="R86" s="9"/>
      <c r="S86" s="9"/>
      <c r="T86" s="9"/>
      <c r="U86" s="9"/>
      <c r="V86" s="9"/>
      <c r="W86" s="9"/>
      <c r="X86" s="9"/>
      <c r="Y86" s="9"/>
      <c r="Z86" s="9"/>
      <c r="AA86" s="9"/>
      <c r="AB86" s="9"/>
      <c r="AC86" s="9"/>
    </row>
    <row r="87" ht="46.5" customHeight="1">
      <c r="A87" s="27" t="s">
        <v>332</v>
      </c>
      <c r="B87" s="27" t="s">
        <v>343</v>
      </c>
      <c r="C87" s="73" t="s">
        <v>318</v>
      </c>
      <c r="D87" s="93"/>
      <c r="E87" s="73" t="s">
        <v>233</v>
      </c>
      <c r="F87" s="73" t="s">
        <v>305</v>
      </c>
      <c r="G87" s="74" t="s">
        <v>344</v>
      </c>
      <c r="H87" s="73" t="s">
        <v>345</v>
      </c>
      <c r="I87" s="73" t="s">
        <v>325</v>
      </c>
      <c r="J87" s="9"/>
      <c r="K87" s="9"/>
      <c r="L87" s="9"/>
      <c r="M87" s="9"/>
      <c r="N87" s="9"/>
      <c r="O87" s="9"/>
      <c r="P87" s="9"/>
      <c r="Q87" s="9"/>
      <c r="R87" s="9"/>
      <c r="S87" s="9"/>
      <c r="T87" s="9"/>
      <c r="U87" s="9"/>
      <c r="V87" s="9"/>
      <c r="W87" s="9"/>
      <c r="X87" s="9"/>
      <c r="Y87" s="9"/>
      <c r="Z87" s="9"/>
      <c r="AA87" s="9"/>
      <c r="AB87" s="9"/>
      <c r="AC87" s="9"/>
    </row>
    <row r="88" ht="52.5" customHeight="1">
      <c r="A88" s="27" t="s">
        <v>339</v>
      </c>
      <c r="B88" s="27" t="s">
        <v>346</v>
      </c>
      <c r="C88" s="73" t="s">
        <v>318</v>
      </c>
      <c r="D88" s="93"/>
      <c r="E88" s="73" t="s">
        <v>347</v>
      </c>
      <c r="F88" s="73" t="s">
        <v>348</v>
      </c>
      <c r="G88" s="77"/>
      <c r="H88" s="75"/>
      <c r="I88" s="75"/>
      <c r="J88" s="9"/>
      <c r="K88" s="9"/>
      <c r="L88" s="9"/>
      <c r="M88" s="9"/>
      <c r="N88" s="9"/>
      <c r="O88" s="9"/>
      <c r="P88" s="9"/>
      <c r="Q88" s="9"/>
      <c r="R88" s="9"/>
      <c r="S88" s="9"/>
      <c r="T88" s="9"/>
      <c r="U88" s="9"/>
      <c r="V88" s="9"/>
      <c r="W88" s="9"/>
      <c r="X88" s="9"/>
      <c r="Y88" s="9"/>
      <c r="Z88" s="9"/>
      <c r="AA88" s="9"/>
      <c r="AB88" s="9"/>
      <c r="AC88" s="9"/>
    </row>
    <row r="89" ht="46.5" customHeight="1">
      <c r="A89" s="27" t="s">
        <v>349</v>
      </c>
      <c r="B89" s="27" t="s">
        <v>350</v>
      </c>
      <c r="C89" s="73" t="s">
        <v>318</v>
      </c>
      <c r="D89" s="93"/>
      <c r="E89" s="73" t="s">
        <v>233</v>
      </c>
      <c r="F89" s="73" t="s">
        <v>348</v>
      </c>
      <c r="G89" s="77"/>
      <c r="H89" s="75"/>
      <c r="I89" s="73" t="s">
        <v>325</v>
      </c>
      <c r="J89" s="9"/>
      <c r="K89" s="9"/>
      <c r="L89" s="9"/>
      <c r="M89" s="9"/>
      <c r="N89" s="9"/>
      <c r="O89" s="9"/>
      <c r="P89" s="9"/>
      <c r="Q89" s="9"/>
      <c r="R89" s="9"/>
      <c r="S89" s="9"/>
      <c r="T89" s="9"/>
      <c r="U89" s="9"/>
      <c r="V89" s="9"/>
      <c r="W89" s="9"/>
      <c r="X89" s="9"/>
      <c r="Y89" s="9"/>
      <c r="Z89" s="9"/>
      <c r="AA89" s="9"/>
      <c r="AB89" s="9"/>
      <c r="AC89" s="9"/>
    </row>
    <row r="90" ht="54.0" customHeight="1">
      <c r="A90" s="27" t="s">
        <v>351</v>
      </c>
      <c r="B90" s="27" t="s">
        <v>352</v>
      </c>
      <c r="C90" s="73" t="s">
        <v>318</v>
      </c>
      <c r="D90" s="93"/>
      <c r="E90" s="73" t="s">
        <v>347</v>
      </c>
      <c r="F90" s="73" t="s">
        <v>348</v>
      </c>
      <c r="G90" s="77"/>
      <c r="H90" s="75"/>
      <c r="I90" s="75"/>
      <c r="J90" s="9"/>
      <c r="K90" s="9"/>
      <c r="L90" s="9"/>
      <c r="M90" s="9"/>
      <c r="N90" s="9"/>
      <c r="O90" s="9"/>
      <c r="P90" s="9"/>
      <c r="Q90" s="9"/>
      <c r="R90" s="9"/>
      <c r="S90" s="9"/>
      <c r="T90" s="9"/>
      <c r="U90" s="9"/>
      <c r="V90" s="9"/>
      <c r="W90" s="9"/>
      <c r="X90" s="9"/>
      <c r="Y90" s="9"/>
      <c r="Z90" s="9"/>
      <c r="AA90" s="9"/>
      <c r="AB90" s="9"/>
      <c r="AC90" s="9"/>
    </row>
    <row r="91" ht="54.0" customHeight="1">
      <c r="A91" s="27" t="s">
        <v>353</v>
      </c>
      <c r="B91" s="27" t="s">
        <v>354</v>
      </c>
      <c r="C91" s="73" t="s">
        <v>318</v>
      </c>
      <c r="D91" s="93"/>
      <c r="E91" s="75"/>
      <c r="F91" s="73" t="s">
        <v>348</v>
      </c>
      <c r="G91" s="77"/>
      <c r="H91" s="75"/>
      <c r="I91" s="75"/>
      <c r="J91" s="9"/>
      <c r="K91" s="9"/>
      <c r="L91" s="9"/>
      <c r="M91" s="9"/>
      <c r="N91" s="9"/>
      <c r="O91" s="9"/>
      <c r="P91" s="9"/>
      <c r="Q91" s="9"/>
      <c r="R91" s="9"/>
      <c r="S91" s="9"/>
      <c r="T91" s="9"/>
      <c r="U91" s="9"/>
      <c r="V91" s="9"/>
      <c r="W91" s="9"/>
      <c r="X91" s="9"/>
      <c r="Y91" s="9"/>
      <c r="Z91" s="9"/>
      <c r="AA91" s="9"/>
      <c r="AB91" s="9"/>
      <c r="AC91" s="9"/>
    </row>
    <row r="92" ht="46.5" customHeight="1">
      <c r="A92" s="27" t="s">
        <v>356</v>
      </c>
      <c r="B92" s="27" t="s">
        <v>357</v>
      </c>
      <c r="C92" s="73" t="s">
        <v>318</v>
      </c>
      <c r="D92" s="93"/>
      <c r="E92" s="75"/>
      <c r="F92" s="73" t="s">
        <v>348</v>
      </c>
      <c r="G92" s="74" t="s">
        <v>358</v>
      </c>
      <c r="H92" s="75"/>
      <c r="I92" s="73" t="s">
        <v>325</v>
      </c>
      <c r="J92" s="9"/>
      <c r="K92" s="9"/>
      <c r="L92" s="9"/>
      <c r="M92" s="9"/>
      <c r="N92" s="9"/>
      <c r="O92" s="9"/>
      <c r="P92" s="9"/>
      <c r="Q92" s="9"/>
      <c r="R92" s="9"/>
      <c r="S92" s="9"/>
      <c r="T92" s="9"/>
      <c r="U92" s="9"/>
      <c r="V92" s="9"/>
      <c r="W92" s="9"/>
      <c r="X92" s="9"/>
      <c r="Y92" s="9"/>
      <c r="Z92" s="9"/>
      <c r="AA92" s="9"/>
      <c r="AB92" s="9"/>
      <c r="AC92" s="9"/>
    </row>
    <row r="93" ht="48.0" customHeight="1">
      <c r="A93" s="27" t="s">
        <v>359</v>
      </c>
      <c r="B93" s="27" t="s">
        <v>360</v>
      </c>
      <c r="C93" s="73" t="s">
        <v>361</v>
      </c>
      <c r="D93" s="93"/>
      <c r="E93" s="73" t="s">
        <v>362</v>
      </c>
      <c r="F93" s="73" t="s">
        <v>363</v>
      </c>
      <c r="G93" s="74" t="s">
        <v>364</v>
      </c>
      <c r="H93" s="73" t="s">
        <v>365</v>
      </c>
      <c r="I93" s="73" t="s">
        <v>366</v>
      </c>
      <c r="J93" s="9"/>
      <c r="K93" s="9"/>
      <c r="L93" s="9"/>
      <c r="M93" s="9"/>
      <c r="N93" s="9"/>
      <c r="O93" s="9"/>
      <c r="P93" s="9"/>
      <c r="Q93" s="9"/>
      <c r="R93" s="9"/>
      <c r="S93" s="9"/>
      <c r="T93" s="9"/>
      <c r="U93" s="9"/>
      <c r="V93" s="9"/>
      <c r="W93" s="9"/>
      <c r="X93" s="9"/>
      <c r="Y93" s="9"/>
      <c r="Z93" s="9"/>
      <c r="AA93" s="9"/>
      <c r="AB93" s="9"/>
      <c r="AC93" s="9"/>
    </row>
    <row r="94" ht="84.0" customHeight="1">
      <c r="A94" s="27" t="s">
        <v>367</v>
      </c>
      <c r="B94" s="27" t="s">
        <v>368</v>
      </c>
      <c r="C94" s="73" t="s">
        <v>361</v>
      </c>
      <c r="D94" s="93"/>
      <c r="E94" s="73" t="s">
        <v>362</v>
      </c>
      <c r="F94" s="73" t="s">
        <v>363</v>
      </c>
      <c r="G94" s="74" t="s">
        <v>369</v>
      </c>
      <c r="H94" s="73" t="s">
        <v>370</v>
      </c>
      <c r="I94" s="73" t="s">
        <v>371</v>
      </c>
      <c r="J94" s="9"/>
      <c r="K94" s="9"/>
      <c r="L94" s="9"/>
      <c r="M94" s="9"/>
      <c r="N94" s="9"/>
      <c r="O94" s="9"/>
      <c r="P94" s="9"/>
      <c r="Q94" s="9"/>
      <c r="R94" s="9"/>
      <c r="S94" s="9"/>
      <c r="T94" s="9"/>
      <c r="U94" s="9"/>
      <c r="V94" s="9"/>
      <c r="W94" s="9"/>
      <c r="X94" s="9"/>
      <c r="Y94" s="9"/>
      <c r="Z94" s="9"/>
      <c r="AA94" s="9"/>
      <c r="AB94" s="9"/>
      <c r="AC94" s="9"/>
    </row>
    <row r="95" ht="63.75" customHeight="1">
      <c r="A95" s="27" t="s">
        <v>372</v>
      </c>
      <c r="B95" s="27" t="s">
        <v>373</v>
      </c>
      <c r="C95" s="73" t="s">
        <v>361</v>
      </c>
      <c r="D95" s="93"/>
      <c r="E95" s="73" t="s">
        <v>362</v>
      </c>
      <c r="F95" s="73" t="s">
        <v>363</v>
      </c>
      <c r="G95" s="74" t="s">
        <v>374</v>
      </c>
      <c r="H95" s="73" t="s">
        <v>375</v>
      </c>
      <c r="I95" s="73">
        <v>10.7</v>
      </c>
      <c r="J95" s="9"/>
      <c r="K95" s="9"/>
      <c r="L95" s="9"/>
      <c r="M95" s="9"/>
      <c r="N95" s="9"/>
      <c r="O95" s="9"/>
      <c r="P95" s="9"/>
      <c r="Q95" s="9"/>
      <c r="R95" s="9"/>
      <c r="S95" s="9"/>
      <c r="T95" s="9"/>
      <c r="U95" s="9"/>
      <c r="V95" s="9"/>
      <c r="W95" s="9"/>
      <c r="X95" s="9"/>
      <c r="Y95" s="9"/>
      <c r="Z95" s="9"/>
      <c r="AA95" s="9"/>
      <c r="AB95" s="9"/>
      <c r="AC95" s="9"/>
    </row>
    <row r="96" ht="36.0" customHeight="1">
      <c r="A96" s="18" t="str">
        <f>IF(OR($C$25="No",$C$28="Yes"),"BCP - Optional based on QUALIFIER response.","Business Continuity Plan")</f>
        <v>Business Continuity Plan</v>
      </c>
      <c r="B96" s="3"/>
      <c r="C96" s="65" t="str">
        <f>$C$20</f>
        <v>CIS Critical Security Controls v6.1</v>
      </c>
      <c r="D96" s="65" t="str">
        <f>$D$20</f>
        <v>HIPAA</v>
      </c>
      <c r="E96" s="65" t="str">
        <f>$E$20</f>
        <v>ISO 27002:2013</v>
      </c>
      <c r="F96" s="65" t="str">
        <f>$F$20</f>
        <v>NIST Cybersecurity Framework</v>
      </c>
      <c r="G96" s="20" t="str">
        <f>$G$20</f>
        <v>NIST SP 800-171r1</v>
      </c>
      <c r="H96" s="65" t="str">
        <f>$H$20</f>
        <v>NIST SP 800-53r4</v>
      </c>
      <c r="I96" s="20" t="s">
        <v>157</v>
      </c>
      <c r="J96" s="67"/>
      <c r="K96" s="67"/>
      <c r="L96" s="67"/>
      <c r="M96" s="67"/>
      <c r="N96" s="67"/>
      <c r="O96" s="67"/>
      <c r="P96" s="67"/>
      <c r="Q96" s="67"/>
      <c r="R96" s="67"/>
      <c r="S96" s="67"/>
      <c r="T96" s="67"/>
      <c r="U96" s="67"/>
      <c r="V96" s="67"/>
      <c r="W96" s="67"/>
      <c r="X96" s="67"/>
      <c r="Y96" s="67"/>
      <c r="Z96" s="67"/>
      <c r="AA96" s="67"/>
      <c r="AB96" s="67"/>
      <c r="AC96" s="67"/>
    </row>
    <row r="97" ht="48.0" customHeight="1">
      <c r="A97" s="27" t="s">
        <v>381</v>
      </c>
      <c r="B97" s="27" t="s">
        <v>382</v>
      </c>
      <c r="C97" s="73" t="s">
        <v>174</v>
      </c>
      <c r="D97" s="93"/>
      <c r="E97" s="73" t="s">
        <v>383</v>
      </c>
      <c r="F97" s="73" t="s">
        <v>176</v>
      </c>
      <c r="G97" s="74" t="s">
        <v>384</v>
      </c>
      <c r="H97" s="73" t="s">
        <v>385</v>
      </c>
      <c r="I97" s="77"/>
      <c r="J97" s="9"/>
      <c r="K97" s="9"/>
      <c r="L97" s="9"/>
      <c r="M97" s="9"/>
      <c r="N97" s="9"/>
      <c r="O97" s="9"/>
      <c r="P97" s="9"/>
      <c r="Q97" s="9"/>
      <c r="R97" s="9"/>
      <c r="S97" s="9"/>
      <c r="T97" s="9"/>
      <c r="U97" s="9"/>
      <c r="V97" s="9"/>
      <c r="W97" s="9"/>
      <c r="X97" s="9"/>
      <c r="Y97" s="9"/>
      <c r="Z97" s="9"/>
      <c r="AA97" s="9"/>
      <c r="AB97" s="9"/>
      <c r="AC97" s="9"/>
    </row>
    <row r="98" ht="46.5" customHeight="1">
      <c r="A98" s="27" t="s">
        <v>386</v>
      </c>
      <c r="B98" s="27" t="s">
        <v>387</v>
      </c>
      <c r="C98" s="73" t="s">
        <v>174</v>
      </c>
      <c r="D98" s="93"/>
      <c r="E98" s="75"/>
      <c r="F98" s="73" t="s">
        <v>176</v>
      </c>
      <c r="G98" s="74" t="s">
        <v>384</v>
      </c>
      <c r="H98" s="73" t="s">
        <v>388</v>
      </c>
      <c r="I98" s="77"/>
      <c r="J98" s="9"/>
      <c r="K98" s="9"/>
      <c r="L98" s="9"/>
      <c r="M98" s="9"/>
      <c r="N98" s="9"/>
      <c r="O98" s="9"/>
      <c r="P98" s="9"/>
      <c r="Q98" s="9"/>
      <c r="R98" s="9"/>
      <c r="S98" s="9"/>
      <c r="T98" s="9"/>
      <c r="U98" s="9"/>
      <c r="V98" s="9"/>
      <c r="W98" s="9"/>
      <c r="X98" s="9"/>
      <c r="Y98" s="9"/>
      <c r="Z98" s="9"/>
      <c r="AA98" s="9"/>
      <c r="AB98" s="9"/>
      <c r="AC98" s="9"/>
    </row>
    <row r="99" ht="46.5" customHeight="1">
      <c r="A99" s="27" t="s">
        <v>389</v>
      </c>
      <c r="B99" s="27" t="s">
        <v>390</v>
      </c>
      <c r="C99" s="73" t="s">
        <v>174</v>
      </c>
      <c r="D99" s="93"/>
      <c r="E99" s="73" t="s">
        <v>383</v>
      </c>
      <c r="F99" s="73" t="s">
        <v>176</v>
      </c>
      <c r="G99" s="74" t="s">
        <v>384</v>
      </c>
      <c r="H99" s="73" t="s">
        <v>385</v>
      </c>
      <c r="I99" s="77"/>
      <c r="J99" s="9"/>
      <c r="K99" s="9"/>
      <c r="L99" s="9"/>
      <c r="M99" s="9"/>
      <c r="N99" s="9"/>
      <c r="O99" s="9"/>
      <c r="P99" s="9"/>
      <c r="Q99" s="9"/>
      <c r="R99" s="9"/>
      <c r="S99" s="9"/>
      <c r="T99" s="9"/>
      <c r="U99" s="9"/>
      <c r="V99" s="9"/>
      <c r="W99" s="9"/>
      <c r="X99" s="9"/>
      <c r="Y99" s="9"/>
      <c r="Z99" s="9"/>
      <c r="AA99" s="9"/>
      <c r="AB99" s="9"/>
      <c r="AC99" s="9"/>
    </row>
    <row r="100" ht="46.5" customHeight="1">
      <c r="A100" s="27" t="s">
        <v>392</v>
      </c>
      <c r="B100" s="27" t="s">
        <v>393</v>
      </c>
      <c r="C100" s="73" t="s">
        <v>174</v>
      </c>
      <c r="D100" s="93"/>
      <c r="E100" s="73" t="s">
        <v>394</v>
      </c>
      <c r="F100" s="73" t="s">
        <v>176</v>
      </c>
      <c r="G100" s="74" t="s">
        <v>384</v>
      </c>
      <c r="H100" s="73" t="s">
        <v>385</v>
      </c>
      <c r="I100" s="77"/>
      <c r="J100" s="9"/>
      <c r="K100" s="9"/>
      <c r="L100" s="9"/>
      <c r="M100" s="9"/>
      <c r="N100" s="9"/>
      <c r="O100" s="9"/>
      <c r="P100" s="9"/>
      <c r="Q100" s="9"/>
      <c r="R100" s="9"/>
      <c r="S100" s="9"/>
      <c r="T100" s="9"/>
      <c r="U100" s="9"/>
      <c r="V100" s="9"/>
      <c r="W100" s="9"/>
      <c r="X100" s="9"/>
      <c r="Y100" s="9"/>
      <c r="Z100" s="9"/>
      <c r="AA100" s="9"/>
      <c r="AB100" s="9"/>
      <c r="AC100" s="9"/>
    </row>
    <row r="101" ht="46.5" customHeight="1">
      <c r="A101" s="27" t="s">
        <v>396</v>
      </c>
      <c r="B101" s="27" t="s">
        <v>397</v>
      </c>
      <c r="C101" s="73" t="s">
        <v>174</v>
      </c>
      <c r="D101" s="93"/>
      <c r="E101" s="73" t="s">
        <v>175</v>
      </c>
      <c r="F101" s="73" t="s">
        <v>176</v>
      </c>
      <c r="G101" s="74" t="s">
        <v>384</v>
      </c>
      <c r="H101" s="73" t="s">
        <v>385</v>
      </c>
      <c r="I101" s="77"/>
      <c r="J101" s="9"/>
      <c r="K101" s="9"/>
      <c r="L101" s="9"/>
      <c r="M101" s="9"/>
      <c r="N101" s="9"/>
      <c r="O101" s="9"/>
      <c r="P101" s="9"/>
      <c r="Q101" s="9"/>
      <c r="R101" s="9"/>
      <c r="S101" s="9"/>
      <c r="T101" s="9"/>
      <c r="U101" s="9"/>
      <c r="V101" s="9"/>
      <c r="W101" s="9"/>
      <c r="X101" s="9"/>
      <c r="Y101" s="9"/>
      <c r="Z101" s="9"/>
      <c r="AA101" s="9"/>
      <c r="AB101" s="9"/>
      <c r="AC101" s="9"/>
    </row>
    <row r="102" ht="48.0" customHeight="1">
      <c r="A102" s="27" t="s">
        <v>399</v>
      </c>
      <c r="B102" s="27" t="s">
        <v>400</v>
      </c>
      <c r="C102" s="73" t="s">
        <v>174</v>
      </c>
      <c r="D102" s="93"/>
      <c r="E102" s="73" t="s">
        <v>175</v>
      </c>
      <c r="F102" s="73" t="s">
        <v>176</v>
      </c>
      <c r="G102" s="74" t="s">
        <v>384</v>
      </c>
      <c r="H102" s="73" t="s">
        <v>385</v>
      </c>
      <c r="I102" s="77"/>
      <c r="J102" s="9"/>
      <c r="K102" s="9"/>
      <c r="L102" s="9"/>
      <c r="M102" s="9"/>
      <c r="N102" s="9"/>
      <c r="O102" s="9"/>
      <c r="P102" s="9"/>
      <c r="Q102" s="9"/>
      <c r="R102" s="9"/>
      <c r="S102" s="9"/>
      <c r="T102" s="9"/>
      <c r="U102" s="9"/>
      <c r="V102" s="9"/>
      <c r="W102" s="9"/>
      <c r="X102" s="9"/>
      <c r="Y102" s="9"/>
      <c r="Z102" s="9"/>
      <c r="AA102" s="9"/>
      <c r="AB102" s="9"/>
      <c r="AC102" s="9"/>
    </row>
    <row r="103" ht="48.0" customHeight="1">
      <c r="A103" s="27" t="s">
        <v>401</v>
      </c>
      <c r="B103" s="27" t="s">
        <v>402</v>
      </c>
      <c r="C103" s="73" t="s">
        <v>174</v>
      </c>
      <c r="D103" s="93"/>
      <c r="E103" s="73" t="s">
        <v>403</v>
      </c>
      <c r="F103" s="73" t="s">
        <v>176</v>
      </c>
      <c r="G103" s="74" t="s">
        <v>384</v>
      </c>
      <c r="H103" s="73" t="s">
        <v>385</v>
      </c>
      <c r="I103" s="77"/>
      <c r="J103" s="9"/>
      <c r="K103" s="9"/>
      <c r="L103" s="9"/>
      <c r="M103" s="9"/>
      <c r="N103" s="9"/>
      <c r="O103" s="9"/>
      <c r="P103" s="9"/>
      <c r="Q103" s="9"/>
      <c r="R103" s="9"/>
      <c r="S103" s="9"/>
      <c r="T103" s="9"/>
      <c r="U103" s="9"/>
      <c r="V103" s="9"/>
      <c r="W103" s="9"/>
      <c r="X103" s="9"/>
      <c r="Y103" s="9"/>
      <c r="Z103" s="9"/>
      <c r="AA103" s="9"/>
      <c r="AB103" s="9"/>
      <c r="AC103" s="9"/>
    </row>
    <row r="104" ht="46.5" customHeight="1">
      <c r="A104" s="27" t="s">
        <v>404</v>
      </c>
      <c r="B104" s="27" t="s">
        <v>405</v>
      </c>
      <c r="C104" s="73" t="s">
        <v>174</v>
      </c>
      <c r="D104" s="93"/>
      <c r="E104" s="73" t="s">
        <v>407</v>
      </c>
      <c r="F104" s="73" t="s">
        <v>176</v>
      </c>
      <c r="G104" s="74" t="s">
        <v>408</v>
      </c>
      <c r="H104" s="73" t="s">
        <v>409</v>
      </c>
      <c r="I104" s="73" t="s">
        <v>298</v>
      </c>
      <c r="J104" s="9"/>
      <c r="K104" s="9"/>
      <c r="L104" s="9"/>
      <c r="M104" s="9"/>
      <c r="N104" s="9"/>
      <c r="O104" s="9"/>
      <c r="P104" s="9"/>
      <c r="Q104" s="9"/>
      <c r="R104" s="9"/>
      <c r="S104" s="9"/>
      <c r="T104" s="9"/>
      <c r="U104" s="9"/>
      <c r="V104" s="9"/>
      <c r="W104" s="9"/>
      <c r="X104" s="9"/>
      <c r="Y104" s="9"/>
      <c r="Z104" s="9"/>
      <c r="AA104" s="9"/>
      <c r="AB104" s="9"/>
      <c r="AC104" s="9"/>
    </row>
    <row r="105" ht="46.5" customHeight="1">
      <c r="A105" s="27" t="s">
        <v>410</v>
      </c>
      <c r="B105" s="27" t="s">
        <v>411</v>
      </c>
      <c r="C105" s="73" t="s">
        <v>174</v>
      </c>
      <c r="D105" s="93"/>
      <c r="E105" s="73" t="s">
        <v>412</v>
      </c>
      <c r="F105" s="73" t="s">
        <v>176</v>
      </c>
      <c r="G105" s="77"/>
      <c r="H105" s="73" t="s">
        <v>388</v>
      </c>
      <c r="I105" s="73" t="s">
        <v>298</v>
      </c>
      <c r="J105" s="9"/>
      <c r="K105" s="9"/>
      <c r="L105" s="9"/>
      <c r="M105" s="9"/>
      <c r="N105" s="9"/>
      <c r="O105" s="9"/>
      <c r="P105" s="9"/>
      <c r="Q105" s="9"/>
      <c r="R105" s="9"/>
      <c r="S105" s="9"/>
      <c r="T105" s="9"/>
      <c r="U105" s="9"/>
      <c r="V105" s="9"/>
      <c r="W105" s="9"/>
      <c r="X105" s="9"/>
      <c r="Y105" s="9"/>
      <c r="Z105" s="9"/>
      <c r="AA105" s="9"/>
      <c r="AB105" s="9"/>
      <c r="AC105" s="9"/>
    </row>
    <row r="106" ht="46.5" customHeight="1">
      <c r="A106" s="27" t="s">
        <v>413</v>
      </c>
      <c r="B106" s="27" t="s">
        <v>414</v>
      </c>
      <c r="C106" s="73" t="s">
        <v>174</v>
      </c>
      <c r="D106" s="93"/>
      <c r="E106" s="73" t="s">
        <v>415</v>
      </c>
      <c r="F106" s="73" t="s">
        <v>176</v>
      </c>
      <c r="G106" s="77"/>
      <c r="H106" s="73" t="s">
        <v>388</v>
      </c>
      <c r="I106" s="73">
        <v>12.1</v>
      </c>
      <c r="J106" s="9"/>
      <c r="K106" s="9"/>
      <c r="L106" s="9"/>
      <c r="M106" s="9"/>
      <c r="N106" s="9"/>
      <c r="O106" s="9"/>
      <c r="P106" s="9"/>
      <c r="Q106" s="9"/>
      <c r="R106" s="9"/>
      <c r="S106" s="9"/>
      <c r="T106" s="9"/>
      <c r="U106" s="9"/>
      <c r="V106" s="9"/>
      <c r="W106" s="9"/>
      <c r="X106" s="9"/>
      <c r="Y106" s="9"/>
      <c r="Z106" s="9"/>
      <c r="AA106" s="9"/>
      <c r="AB106" s="9"/>
      <c r="AC106" s="9"/>
    </row>
    <row r="107" ht="46.5" customHeight="1">
      <c r="A107" s="27" t="s">
        <v>416</v>
      </c>
      <c r="B107" s="27" t="s">
        <v>417</v>
      </c>
      <c r="C107" s="73" t="s">
        <v>174</v>
      </c>
      <c r="D107" s="93"/>
      <c r="E107" s="73" t="s">
        <v>403</v>
      </c>
      <c r="F107" s="73" t="s">
        <v>176</v>
      </c>
      <c r="G107" s="77"/>
      <c r="H107" s="73" t="s">
        <v>388</v>
      </c>
      <c r="I107" s="73">
        <v>12.1</v>
      </c>
      <c r="J107" s="9"/>
      <c r="K107" s="9"/>
      <c r="L107" s="9"/>
      <c r="M107" s="9"/>
      <c r="N107" s="9"/>
      <c r="O107" s="9"/>
      <c r="P107" s="9"/>
      <c r="Q107" s="9"/>
      <c r="R107" s="9"/>
      <c r="S107" s="9"/>
      <c r="T107" s="9"/>
      <c r="U107" s="9"/>
      <c r="V107" s="9"/>
      <c r="W107" s="9"/>
      <c r="X107" s="9"/>
      <c r="Y107" s="9"/>
      <c r="Z107" s="9"/>
      <c r="AA107" s="9"/>
      <c r="AB107" s="9"/>
      <c r="AC107" s="9"/>
    </row>
    <row r="108" ht="63.75" customHeight="1">
      <c r="A108" s="27" t="s">
        <v>418</v>
      </c>
      <c r="B108" s="27" t="s">
        <v>419</v>
      </c>
      <c r="C108" s="73" t="s">
        <v>174</v>
      </c>
      <c r="D108" s="93"/>
      <c r="E108" s="75"/>
      <c r="F108" s="73" t="s">
        <v>176</v>
      </c>
      <c r="G108" s="77"/>
      <c r="H108" s="73" t="s">
        <v>388</v>
      </c>
      <c r="I108" s="73">
        <v>12.1</v>
      </c>
      <c r="J108" s="9"/>
      <c r="K108" s="9"/>
      <c r="L108" s="9"/>
      <c r="M108" s="9"/>
      <c r="N108" s="9"/>
      <c r="O108" s="9"/>
      <c r="P108" s="9"/>
      <c r="Q108" s="9"/>
      <c r="R108" s="9"/>
      <c r="S108" s="9"/>
      <c r="T108" s="9"/>
      <c r="U108" s="9"/>
      <c r="V108" s="9"/>
      <c r="W108" s="9"/>
      <c r="X108" s="9"/>
      <c r="Y108" s="9"/>
      <c r="Z108" s="9"/>
      <c r="AA108" s="9"/>
      <c r="AB108" s="9"/>
      <c r="AC108" s="9"/>
    </row>
    <row r="109" ht="36.0" customHeight="1">
      <c r="A109" s="18" t="str">
        <f>IF($C$28="","Change Management",IF($C$28="Yes","Change Management - Optional based on QUALIFIER response.","Change Management"))</f>
        <v>Change Management</v>
      </c>
      <c r="B109" s="3"/>
      <c r="C109" s="65" t="str">
        <f>$C$20</f>
        <v>CIS Critical Security Controls v6.1</v>
      </c>
      <c r="D109" s="65" t="str">
        <f>$D$20</f>
        <v>HIPAA</v>
      </c>
      <c r="E109" s="65" t="str">
        <f>$E$20</f>
        <v>ISO 27002:2013</v>
      </c>
      <c r="F109" s="65" t="str">
        <f>$F$20</f>
        <v>NIST Cybersecurity Framework</v>
      </c>
      <c r="G109" s="20" t="str">
        <f>$G$20</f>
        <v>NIST SP 800-171r1</v>
      </c>
      <c r="H109" s="65" t="str">
        <f>$H$20</f>
        <v>NIST SP 800-53r4</v>
      </c>
      <c r="I109" s="20" t="s">
        <v>157</v>
      </c>
      <c r="J109" s="9"/>
      <c r="K109" s="9"/>
      <c r="L109" s="9"/>
      <c r="M109" s="9"/>
      <c r="N109" s="9"/>
      <c r="O109" s="9"/>
      <c r="P109" s="9"/>
      <c r="Q109" s="9"/>
      <c r="R109" s="9"/>
      <c r="S109" s="9"/>
      <c r="T109" s="9"/>
      <c r="U109" s="9"/>
      <c r="V109" s="9"/>
      <c r="W109" s="9"/>
      <c r="X109" s="9"/>
      <c r="Y109" s="9"/>
      <c r="Z109" s="9"/>
      <c r="AA109" s="9"/>
      <c r="AB109" s="9"/>
      <c r="AC109" s="9"/>
    </row>
    <row r="110" ht="48.0" customHeight="1">
      <c r="A110" s="27" t="s">
        <v>422</v>
      </c>
      <c r="B110" s="27" t="s">
        <v>423</v>
      </c>
      <c r="C110" s="73" t="s">
        <v>174</v>
      </c>
      <c r="D110" s="93"/>
      <c r="E110" s="73" t="s">
        <v>424</v>
      </c>
      <c r="F110" s="73" t="s">
        <v>425</v>
      </c>
      <c r="G110" s="74" t="s">
        <v>426</v>
      </c>
      <c r="H110" s="73" t="s">
        <v>427</v>
      </c>
      <c r="I110" s="73" t="s">
        <v>428</v>
      </c>
      <c r="J110" s="9"/>
      <c r="K110" s="9"/>
      <c r="L110" s="9"/>
      <c r="M110" s="9"/>
      <c r="N110" s="9"/>
      <c r="O110" s="9"/>
      <c r="P110" s="9"/>
      <c r="Q110" s="9"/>
      <c r="R110" s="9"/>
      <c r="S110" s="9"/>
      <c r="T110" s="9"/>
      <c r="U110" s="9"/>
      <c r="V110" s="9"/>
      <c r="W110" s="9"/>
      <c r="X110" s="9"/>
      <c r="Y110" s="9"/>
      <c r="Z110" s="9"/>
      <c r="AA110" s="9"/>
      <c r="AB110" s="9"/>
      <c r="AC110" s="9"/>
    </row>
    <row r="111" ht="79.5" customHeight="1">
      <c r="A111" s="27" t="s">
        <v>430</v>
      </c>
      <c r="B111" s="27" t="s">
        <v>431</v>
      </c>
      <c r="C111" s="73" t="s">
        <v>174</v>
      </c>
      <c r="D111" s="93"/>
      <c r="E111" s="73" t="s">
        <v>424</v>
      </c>
      <c r="F111" s="73" t="s">
        <v>432</v>
      </c>
      <c r="G111" s="74" t="s">
        <v>433</v>
      </c>
      <c r="H111" s="73" t="s">
        <v>427</v>
      </c>
      <c r="I111" s="73" t="s">
        <v>428</v>
      </c>
      <c r="J111" s="9"/>
      <c r="K111" s="9"/>
      <c r="L111" s="9"/>
      <c r="M111" s="9"/>
      <c r="N111" s="9"/>
      <c r="O111" s="9"/>
      <c r="P111" s="9"/>
      <c r="Q111" s="9"/>
      <c r="R111" s="9"/>
      <c r="S111" s="9"/>
      <c r="T111" s="9"/>
      <c r="U111" s="9"/>
      <c r="V111" s="9"/>
      <c r="W111" s="9"/>
      <c r="X111" s="9"/>
      <c r="Y111" s="9"/>
      <c r="Z111" s="9"/>
      <c r="AA111" s="9"/>
      <c r="AB111" s="9"/>
      <c r="AC111" s="9"/>
    </row>
    <row r="112" ht="63.75" customHeight="1">
      <c r="A112" s="27" t="s">
        <v>434</v>
      </c>
      <c r="B112" s="27" t="s">
        <v>435</v>
      </c>
      <c r="C112" s="73" t="s">
        <v>174</v>
      </c>
      <c r="D112" s="93"/>
      <c r="E112" s="73" t="s">
        <v>424</v>
      </c>
      <c r="F112" s="75"/>
      <c r="G112" s="77"/>
      <c r="H112" s="73" t="s">
        <v>427</v>
      </c>
      <c r="I112" s="73" t="s">
        <v>436</v>
      </c>
      <c r="J112" s="9"/>
      <c r="K112" s="9"/>
      <c r="L112" s="9"/>
      <c r="M112" s="9"/>
      <c r="N112" s="9"/>
      <c r="O112" s="9"/>
      <c r="P112" s="9"/>
      <c r="Q112" s="9"/>
      <c r="R112" s="9"/>
      <c r="S112" s="9"/>
      <c r="T112" s="9"/>
      <c r="U112" s="9"/>
      <c r="V112" s="9"/>
      <c r="W112" s="9"/>
      <c r="X112" s="9"/>
      <c r="Y112" s="9"/>
      <c r="Z112" s="9"/>
      <c r="AA112" s="9"/>
      <c r="AB112" s="9"/>
      <c r="AC112" s="9"/>
    </row>
    <row r="113" ht="63.75" customHeight="1">
      <c r="A113" s="27" t="s">
        <v>437</v>
      </c>
      <c r="B113" s="27" t="s">
        <v>438</v>
      </c>
      <c r="C113" s="73" t="s">
        <v>174</v>
      </c>
      <c r="D113" s="97"/>
      <c r="E113" s="75"/>
      <c r="F113" s="75"/>
      <c r="G113" s="77"/>
      <c r="H113" s="73" t="s">
        <v>427</v>
      </c>
      <c r="I113" s="73">
        <v>12.1</v>
      </c>
      <c r="J113" s="9"/>
      <c r="K113" s="9"/>
      <c r="L113" s="9"/>
      <c r="M113" s="9"/>
      <c r="N113" s="9"/>
      <c r="O113" s="9"/>
      <c r="P113" s="9"/>
      <c r="Q113" s="9"/>
      <c r="R113" s="9"/>
      <c r="S113" s="9"/>
      <c r="T113" s="9"/>
      <c r="U113" s="9"/>
      <c r="V113" s="9"/>
      <c r="W113" s="9"/>
      <c r="X113" s="9"/>
      <c r="Y113" s="9"/>
      <c r="Z113" s="9"/>
      <c r="AA113" s="9"/>
      <c r="AB113" s="9"/>
      <c r="AC113" s="9"/>
    </row>
    <row r="114" ht="63.75" customHeight="1">
      <c r="A114" s="27" t="s">
        <v>440</v>
      </c>
      <c r="B114" s="27" t="s">
        <v>441</v>
      </c>
      <c r="C114" s="73" t="s">
        <v>279</v>
      </c>
      <c r="D114" s="93"/>
      <c r="E114" s="75"/>
      <c r="F114" s="75"/>
      <c r="G114" s="77"/>
      <c r="H114" s="73" t="s">
        <v>427</v>
      </c>
      <c r="I114" s="73" t="s">
        <v>442</v>
      </c>
      <c r="J114" s="9"/>
      <c r="K114" s="9"/>
      <c r="L114" s="9"/>
      <c r="M114" s="9"/>
      <c r="N114" s="9"/>
      <c r="O114" s="9"/>
      <c r="P114" s="9"/>
      <c r="Q114" s="9"/>
      <c r="R114" s="9"/>
      <c r="S114" s="9"/>
      <c r="T114" s="9"/>
      <c r="U114" s="9"/>
      <c r="V114" s="9"/>
      <c r="W114" s="9"/>
      <c r="X114" s="9"/>
      <c r="Y114" s="9"/>
      <c r="Z114" s="9"/>
      <c r="AA114" s="9"/>
      <c r="AB114" s="9"/>
      <c r="AC114" s="9"/>
    </row>
    <row r="115" ht="63.75" customHeight="1">
      <c r="A115" s="27" t="s">
        <v>443</v>
      </c>
      <c r="B115" s="27" t="s">
        <v>444</v>
      </c>
      <c r="C115" s="73" t="s">
        <v>279</v>
      </c>
      <c r="D115" s="93"/>
      <c r="E115" s="75"/>
      <c r="F115" s="75"/>
      <c r="G115" s="77"/>
      <c r="H115" s="73" t="s">
        <v>427</v>
      </c>
      <c r="I115" s="77"/>
      <c r="J115" s="9"/>
      <c r="K115" s="9"/>
      <c r="L115" s="9"/>
      <c r="M115" s="9"/>
      <c r="N115" s="9"/>
      <c r="O115" s="9"/>
      <c r="P115" s="9"/>
      <c r="Q115" s="9"/>
      <c r="R115" s="9"/>
      <c r="S115" s="9"/>
      <c r="T115" s="9"/>
      <c r="U115" s="9"/>
      <c r="V115" s="9"/>
      <c r="W115" s="9"/>
      <c r="X115" s="9"/>
      <c r="Y115" s="9"/>
      <c r="Z115" s="9"/>
      <c r="AA115" s="9"/>
      <c r="AB115" s="9"/>
      <c r="AC115" s="9"/>
    </row>
    <row r="116" ht="63.75" customHeight="1">
      <c r="A116" s="27" t="s">
        <v>445</v>
      </c>
      <c r="B116" s="27" t="s">
        <v>446</v>
      </c>
      <c r="C116" s="73" t="s">
        <v>174</v>
      </c>
      <c r="D116" s="93"/>
      <c r="E116" s="75"/>
      <c r="F116" s="75"/>
      <c r="G116" s="77"/>
      <c r="H116" s="73" t="s">
        <v>427</v>
      </c>
      <c r="I116" s="77"/>
      <c r="J116" s="9"/>
      <c r="K116" s="9"/>
      <c r="L116" s="9"/>
      <c r="M116" s="9"/>
      <c r="N116" s="9"/>
      <c r="O116" s="9"/>
      <c r="P116" s="9"/>
      <c r="Q116" s="9"/>
      <c r="R116" s="9"/>
      <c r="S116" s="9"/>
      <c r="T116" s="9"/>
      <c r="U116" s="9"/>
      <c r="V116" s="9"/>
      <c r="W116" s="9"/>
      <c r="X116" s="9"/>
      <c r="Y116" s="9"/>
      <c r="Z116" s="9"/>
      <c r="AA116" s="9"/>
      <c r="AB116" s="9"/>
      <c r="AC116" s="9"/>
    </row>
    <row r="117" ht="63.75" customHeight="1">
      <c r="A117" s="27" t="s">
        <v>448</v>
      </c>
      <c r="B117" s="27" t="s">
        <v>449</v>
      </c>
      <c r="C117" s="73" t="s">
        <v>279</v>
      </c>
      <c r="D117" s="93"/>
      <c r="E117" s="73" t="s">
        <v>287</v>
      </c>
      <c r="F117" s="73" t="s">
        <v>450</v>
      </c>
      <c r="G117" s="74" t="s">
        <v>451</v>
      </c>
      <c r="H117" s="73" t="s">
        <v>427</v>
      </c>
      <c r="I117" s="73">
        <v>12.1</v>
      </c>
      <c r="J117" s="9"/>
      <c r="K117" s="9"/>
      <c r="L117" s="9"/>
      <c r="M117" s="9"/>
      <c r="N117" s="9"/>
      <c r="O117" s="9"/>
      <c r="P117" s="9"/>
      <c r="Q117" s="9"/>
      <c r="R117" s="9"/>
      <c r="S117" s="9"/>
      <c r="T117" s="9"/>
      <c r="U117" s="9"/>
      <c r="V117" s="9"/>
      <c r="W117" s="9"/>
      <c r="X117" s="9"/>
      <c r="Y117" s="9"/>
      <c r="Z117" s="9"/>
      <c r="AA117" s="9"/>
      <c r="AB117" s="9"/>
      <c r="AC117" s="9"/>
    </row>
    <row r="118" ht="63.75" customHeight="1">
      <c r="A118" s="27" t="s">
        <v>452</v>
      </c>
      <c r="B118" s="27" t="s">
        <v>453</v>
      </c>
      <c r="C118" s="73" t="s">
        <v>174</v>
      </c>
      <c r="D118" s="93"/>
      <c r="E118" s="75"/>
      <c r="F118" s="75"/>
      <c r="G118" s="74" t="s">
        <v>454</v>
      </c>
      <c r="H118" s="73" t="s">
        <v>427</v>
      </c>
      <c r="I118" s="77"/>
      <c r="J118" s="9"/>
      <c r="K118" s="9"/>
      <c r="L118" s="9"/>
      <c r="M118" s="9"/>
      <c r="N118" s="9"/>
      <c r="O118" s="9"/>
      <c r="P118" s="9"/>
      <c r="Q118" s="9"/>
      <c r="R118" s="9"/>
      <c r="S118" s="9"/>
      <c r="T118" s="9"/>
      <c r="U118" s="9"/>
      <c r="V118" s="9"/>
      <c r="W118" s="9"/>
      <c r="X118" s="9"/>
      <c r="Y118" s="9"/>
      <c r="Z118" s="9"/>
      <c r="AA118" s="9"/>
      <c r="AB118" s="9"/>
      <c r="AC118" s="9"/>
    </row>
    <row r="119" ht="63.75" customHeight="1">
      <c r="A119" s="27" t="s">
        <v>455</v>
      </c>
      <c r="B119" s="27" t="s">
        <v>456</v>
      </c>
      <c r="C119" s="73" t="s">
        <v>279</v>
      </c>
      <c r="D119" s="93"/>
      <c r="E119" s="75"/>
      <c r="F119" s="75"/>
      <c r="G119" s="77"/>
      <c r="H119" s="73" t="s">
        <v>427</v>
      </c>
      <c r="I119" s="77"/>
      <c r="J119" s="9"/>
      <c r="K119" s="9"/>
      <c r="L119" s="9"/>
      <c r="M119" s="9"/>
      <c r="N119" s="9"/>
      <c r="O119" s="9"/>
      <c r="P119" s="9"/>
      <c r="Q119" s="9"/>
      <c r="R119" s="9"/>
      <c r="S119" s="9"/>
      <c r="T119" s="9"/>
      <c r="U119" s="9"/>
      <c r="V119" s="9"/>
      <c r="W119" s="9"/>
      <c r="X119" s="9"/>
      <c r="Y119" s="9"/>
      <c r="Z119" s="9"/>
      <c r="AA119" s="9"/>
      <c r="AB119" s="9"/>
      <c r="AC119" s="9"/>
    </row>
    <row r="120" ht="63.75" customHeight="1">
      <c r="A120" s="27" t="s">
        <v>457</v>
      </c>
      <c r="B120" s="27" t="s">
        <v>458</v>
      </c>
      <c r="C120" s="75"/>
      <c r="D120" s="93"/>
      <c r="E120" s="75"/>
      <c r="F120" s="75"/>
      <c r="G120" s="77"/>
      <c r="H120" s="73" t="s">
        <v>427</v>
      </c>
      <c r="I120" s="77"/>
      <c r="J120" s="9"/>
      <c r="K120" s="9"/>
      <c r="L120" s="9"/>
      <c r="M120" s="9"/>
      <c r="N120" s="9"/>
      <c r="O120" s="9"/>
      <c r="P120" s="9"/>
      <c r="Q120" s="9"/>
      <c r="R120" s="9"/>
      <c r="S120" s="9"/>
      <c r="T120" s="9"/>
      <c r="U120" s="9"/>
      <c r="V120" s="9"/>
      <c r="W120" s="9"/>
      <c r="X120" s="9"/>
      <c r="Y120" s="9"/>
      <c r="Z120" s="9"/>
      <c r="AA120" s="9"/>
      <c r="AB120" s="9"/>
      <c r="AC120" s="9"/>
    </row>
    <row r="121" ht="63.75" customHeight="1">
      <c r="A121" s="27" t="s">
        <v>459</v>
      </c>
      <c r="B121" s="27" t="s">
        <v>460</v>
      </c>
      <c r="C121" s="73" t="s">
        <v>279</v>
      </c>
      <c r="D121" s="93"/>
      <c r="E121" s="73" t="s">
        <v>461</v>
      </c>
      <c r="F121" s="75"/>
      <c r="G121" s="77"/>
      <c r="H121" s="73" t="s">
        <v>427</v>
      </c>
      <c r="I121" s="73" t="s">
        <v>462</v>
      </c>
      <c r="J121" s="9"/>
      <c r="K121" s="9"/>
      <c r="L121" s="9"/>
      <c r="M121" s="9"/>
      <c r="N121" s="9"/>
      <c r="O121" s="9"/>
      <c r="P121" s="9"/>
      <c r="Q121" s="9"/>
      <c r="R121" s="9"/>
      <c r="S121" s="9"/>
      <c r="T121" s="9"/>
      <c r="U121" s="9"/>
      <c r="V121" s="9"/>
      <c r="W121" s="9"/>
      <c r="X121" s="9"/>
      <c r="Y121" s="9"/>
      <c r="Z121" s="9"/>
      <c r="AA121" s="9"/>
      <c r="AB121" s="9"/>
      <c r="AC121" s="9"/>
    </row>
    <row r="122" ht="63.75" customHeight="1">
      <c r="A122" s="27" t="s">
        <v>463</v>
      </c>
      <c r="B122" s="27" t="s">
        <v>464</v>
      </c>
      <c r="C122" s="73" t="s">
        <v>160</v>
      </c>
      <c r="D122" s="73" t="s">
        <v>465</v>
      </c>
      <c r="E122" s="73" t="s">
        <v>461</v>
      </c>
      <c r="F122" s="75"/>
      <c r="G122" s="77"/>
      <c r="H122" s="73" t="s">
        <v>427</v>
      </c>
      <c r="I122" s="73" t="s">
        <v>466</v>
      </c>
      <c r="J122" s="9"/>
      <c r="K122" s="9"/>
      <c r="L122" s="9"/>
      <c r="M122" s="9"/>
      <c r="N122" s="9"/>
      <c r="O122" s="9"/>
      <c r="P122" s="9"/>
      <c r="Q122" s="9"/>
      <c r="R122" s="9"/>
      <c r="S122" s="9"/>
      <c r="T122" s="9"/>
      <c r="U122" s="9"/>
      <c r="V122" s="9"/>
      <c r="W122" s="9"/>
      <c r="X122" s="9"/>
      <c r="Y122" s="9"/>
      <c r="Z122" s="9"/>
      <c r="AA122" s="9"/>
      <c r="AB122" s="9"/>
      <c r="AC122" s="9"/>
    </row>
    <row r="123" ht="48.0" customHeight="1">
      <c r="A123" s="27" t="s">
        <v>467</v>
      </c>
      <c r="B123" s="27" t="s">
        <v>469</v>
      </c>
      <c r="C123" s="73" t="s">
        <v>174</v>
      </c>
      <c r="D123" s="97"/>
      <c r="E123" s="75"/>
      <c r="F123" s="75"/>
      <c r="G123" s="77"/>
      <c r="H123" s="73" t="s">
        <v>427</v>
      </c>
      <c r="I123" s="73" t="s">
        <v>471</v>
      </c>
      <c r="J123" s="9"/>
      <c r="K123" s="9"/>
      <c r="L123" s="9"/>
      <c r="M123" s="9"/>
      <c r="N123" s="9"/>
      <c r="O123" s="9"/>
      <c r="P123" s="9"/>
      <c r="Q123" s="9"/>
      <c r="R123" s="9"/>
      <c r="S123" s="9"/>
      <c r="T123" s="9"/>
      <c r="U123" s="9"/>
      <c r="V123" s="9"/>
      <c r="W123" s="9"/>
      <c r="X123" s="9"/>
      <c r="Y123" s="9"/>
      <c r="Z123" s="9"/>
      <c r="AA123" s="9"/>
      <c r="AB123" s="9"/>
      <c r="AC123" s="9"/>
    </row>
    <row r="124" ht="48.0" customHeight="1">
      <c r="A124" s="27" t="s">
        <v>472</v>
      </c>
      <c r="B124" s="27" t="s">
        <v>473</v>
      </c>
      <c r="C124" s="73" t="s">
        <v>174</v>
      </c>
      <c r="D124" s="97"/>
      <c r="E124" s="73" t="s">
        <v>424</v>
      </c>
      <c r="F124" s="73" t="s">
        <v>425</v>
      </c>
      <c r="G124" s="77"/>
      <c r="H124" s="73" t="s">
        <v>427</v>
      </c>
      <c r="I124" s="73" t="s">
        <v>474</v>
      </c>
      <c r="J124" s="9"/>
      <c r="K124" s="9"/>
      <c r="L124" s="9"/>
      <c r="M124" s="9"/>
      <c r="N124" s="9"/>
      <c r="O124" s="9"/>
      <c r="P124" s="9"/>
      <c r="Q124" s="9"/>
      <c r="R124" s="9"/>
      <c r="S124" s="9"/>
      <c r="T124" s="9"/>
      <c r="U124" s="9"/>
      <c r="V124" s="9"/>
      <c r="W124" s="9"/>
      <c r="X124" s="9"/>
      <c r="Y124" s="9"/>
      <c r="Z124" s="9"/>
      <c r="AA124" s="9"/>
      <c r="AB124" s="9"/>
      <c r="AC124" s="9"/>
    </row>
    <row r="125" ht="36.0" customHeight="1">
      <c r="A125" s="18" t="str">
        <f>IF($C$28="","Data",IF($C$28="Yes","Data - Optional based on QUALIFIER response.","Data"))</f>
        <v>Data</v>
      </c>
      <c r="B125" s="3"/>
      <c r="C125" s="65" t="str">
        <f>$C$20</f>
        <v>CIS Critical Security Controls v6.1</v>
      </c>
      <c r="D125" s="65" t="str">
        <f>$D$20</f>
        <v>HIPAA</v>
      </c>
      <c r="E125" s="65" t="str">
        <f>$E$20</f>
        <v>ISO 27002:2013</v>
      </c>
      <c r="F125" s="65" t="str">
        <f>$F$20</f>
        <v>NIST Cybersecurity Framework</v>
      </c>
      <c r="G125" s="20" t="str">
        <f>$G$20</f>
        <v>NIST SP 800-171r1</v>
      </c>
      <c r="H125" s="65" t="str">
        <f>$H$20</f>
        <v>NIST SP 800-53r4</v>
      </c>
      <c r="I125" s="20" t="s">
        <v>157</v>
      </c>
    </row>
    <row r="126" ht="48.0" customHeight="1">
      <c r="A126" s="27" t="s">
        <v>475</v>
      </c>
      <c r="B126" s="27" t="s">
        <v>476</v>
      </c>
      <c r="C126" s="73" t="s">
        <v>274</v>
      </c>
      <c r="D126" s="75"/>
      <c r="E126" s="75"/>
      <c r="F126" s="73" t="s">
        <v>477</v>
      </c>
      <c r="G126" s="74" t="s">
        <v>478</v>
      </c>
      <c r="H126" s="73" t="s">
        <v>479</v>
      </c>
      <c r="I126" s="73">
        <v>12.8</v>
      </c>
    </row>
    <row r="127" ht="48.0" customHeight="1">
      <c r="A127" s="27" t="s">
        <v>480</v>
      </c>
      <c r="B127" s="27" t="s">
        <v>481</v>
      </c>
      <c r="C127" s="73" t="s">
        <v>274</v>
      </c>
      <c r="D127" s="75"/>
      <c r="E127" s="75"/>
      <c r="F127" s="73" t="s">
        <v>477</v>
      </c>
      <c r="G127" s="74" t="s">
        <v>483</v>
      </c>
      <c r="H127" s="73" t="s">
        <v>484</v>
      </c>
      <c r="I127" s="73" t="s">
        <v>485</v>
      </c>
    </row>
    <row r="128" ht="48.0" customHeight="1">
      <c r="A128" s="27" t="s">
        <v>486</v>
      </c>
      <c r="B128" s="27" t="s">
        <v>487</v>
      </c>
      <c r="C128" s="73" t="s">
        <v>160</v>
      </c>
      <c r="D128" s="75"/>
      <c r="E128" s="73" t="s">
        <v>488</v>
      </c>
      <c r="F128" s="73" t="s">
        <v>489</v>
      </c>
      <c r="G128" s="77"/>
      <c r="H128" s="75"/>
      <c r="I128" s="73" t="s">
        <v>490</v>
      </c>
    </row>
    <row r="129" ht="48.0" customHeight="1">
      <c r="A129" s="27" t="s">
        <v>491</v>
      </c>
      <c r="B129" s="27" t="s">
        <v>492</v>
      </c>
      <c r="C129" s="73" t="s">
        <v>160</v>
      </c>
      <c r="D129" s="75"/>
      <c r="E129" s="73" t="s">
        <v>493</v>
      </c>
      <c r="F129" s="73" t="s">
        <v>494</v>
      </c>
      <c r="G129" s="74" t="s">
        <v>495</v>
      </c>
      <c r="H129" s="73" t="s">
        <v>496</v>
      </c>
      <c r="I129" s="73">
        <v>12.8</v>
      </c>
    </row>
    <row r="130" ht="48.0" customHeight="1">
      <c r="A130" s="27" t="s">
        <v>497</v>
      </c>
      <c r="B130" s="27" t="s">
        <v>498</v>
      </c>
      <c r="C130" s="73" t="s">
        <v>160</v>
      </c>
      <c r="D130" s="75"/>
      <c r="E130" s="73" t="s">
        <v>493</v>
      </c>
      <c r="F130" s="75"/>
      <c r="G130" s="74" t="s">
        <v>499</v>
      </c>
      <c r="H130" s="75"/>
      <c r="I130" s="73">
        <v>12.1</v>
      </c>
    </row>
    <row r="131" ht="64.5" customHeight="1">
      <c r="A131" s="27" t="s">
        <v>500</v>
      </c>
      <c r="B131" s="27" t="s">
        <v>501</v>
      </c>
      <c r="C131" s="73" t="s">
        <v>160</v>
      </c>
      <c r="D131" s="75"/>
      <c r="E131" s="73" t="s">
        <v>502</v>
      </c>
      <c r="F131" s="73" t="s">
        <v>489</v>
      </c>
      <c r="G131" s="77"/>
      <c r="H131" s="73" t="s">
        <v>503</v>
      </c>
      <c r="I131" s="73" t="s">
        <v>490</v>
      </c>
    </row>
    <row r="132" ht="60.0" customHeight="1">
      <c r="A132" s="27" t="s">
        <v>504</v>
      </c>
      <c r="B132" s="27" t="s">
        <v>505</v>
      </c>
      <c r="C132" s="73" t="s">
        <v>506</v>
      </c>
      <c r="D132" s="75"/>
      <c r="E132" s="75"/>
      <c r="F132" s="75"/>
      <c r="G132" s="74" t="s">
        <v>507</v>
      </c>
      <c r="H132" s="73" t="s">
        <v>234</v>
      </c>
      <c r="I132" s="73" t="s">
        <v>485</v>
      </c>
    </row>
    <row r="133" ht="36.0" customHeight="1">
      <c r="A133" s="27" t="s">
        <v>508</v>
      </c>
      <c r="B133" s="27" t="s">
        <v>509</v>
      </c>
      <c r="C133" s="73" t="s">
        <v>160</v>
      </c>
      <c r="D133" s="75"/>
      <c r="E133" s="73" t="s">
        <v>510</v>
      </c>
      <c r="F133" s="75"/>
      <c r="G133" s="74" t="s">
        <v>507</v>
      </c>
      <c r="H133" s="73" t="s">
        <v>234</v>
      </c>
      <c r="I133" s="73">
        <v>12.8</v>
      </c>
    </row>
    <row r="134" ht="48.0" customHeight="1">
      <c r="A134" s="27" t="s">
        <v>511</v>
      </c>
      <c r="B134" s="27" t="s">
        <v>512</v>
      </c>
      <c r="C134" s="73" t="s">
        <v>160</v>
      </c>
      <c r="D134" s="75"/>
      <c r="E134" s="73" t="s">
        <v>510</v>
      </c>
      <c r="F134" s="75"/>
      <c r="G134" s="77"/>
      <c r="H134" s="75"/>
      <c r="I134" s="73">
        <v>12.8</v>
      </c>
    </row>
    <row r="135" ht="36.0" customHeight="1">
      <c r="A135" s="27" t="s">
        <v>513</v>
      </c>
      <c r="B135" s="27" t="s">
        <v>514</v>
      </c>
      <c r="C135" s="75"/>
      <c r="D135" s="75"/>
      <c r="E135" s="73" t="s">
        <v>516</v>
      </c>
      <c r="F135" s="75"/>
      <c r="G135" s="77"/>
      <c r="H135" s="75"/>
      <c r="I135" s="73">
        <v>12.8</v>
      </c>
    </row>
    <row r="136" ht="48.0" customHeight="1">
      <c r="A136" s="27" t="s">
        <v>517</v>
      </c>
      <c r="B136" s="27" t="s">
        <v>518</v>
      </c>
      <c r="C136" s="73" t="s">
        <v>160</v>
      </c>
      <c r="D136" s="75"/>
      <c r="E136" s="73" t="s">
        <v>519</v>
      </c>
      <c r="F136" s="75"/>
      <c r="G136" s="74" t="s">
        <v>507</v>
      </c>
      <c r="H136" s="75"/>
      <c r="I136" s="73">
        <v>12.8</v>
      </c>
    </row>
    <row r="137" ht="36.0" customHeight="1">
      <c r="A137" s="27" t="s">
        <v>520</v>
      </c>
      <c r="B137" s="27" t="s">
        <v>522</v>
      </c>
      <c r="C137" s="73" t="s">
        <v>160</v>
      </c>
      <c r="D137" s="75"/>
      <c r="E137" s="73" t="s">
        <v>519</v>
      </c>
      <c r="F137" s="75"/>
      <c r="G137" s="74" t="s">
        <v>213</v>
      </c>
      <c r="H137" s="75"/>
      <c r="I137" s="73">
        <v>12.8</v>
      </c>
    </row>
    <row r="138" ht="54.0" customHeight="1">
      <c r="A138" s="27" t="s">
        <v>523</v>
      </c>
      <c r="B138" s="27" t="s">
        <v>524</v>
      </c>
      <c r="C138" s="73" t="s">
        <v>525</v>
      </c>
      <c r="D138" s="75"/>
      <c r="E138" s="73" t="s">
        <v>519</v>
      </c>
      <c r="F138" s="75"/>
      <c r="G138" s="74" t="s">
        <v>507</v>
      </c>
      <c r="H138" s="75"/>
      <c r="I138" s="73">
        <v>12.8</v>
      </c>
    </row>
    <row r="139" ht="48.0" customHeight="1">
      <c r="A139" s="27" t="s">
        <v>527</v>
      </c>
      <c r="B139" s="27" t="s">
        <v>528</v>
      </c>
      <c r="C139" s="73" t="s">
        <v>174</v>
      </c>
      <c r="D139" s="75"/>
      <c r="E139" s="73" t="s">
        <v>516</v>
      </c>
      <c r="F139" s="73" t="s">
        <v>529</v>
      </c>
      <c r="G139" s="74" t="s">
        <v>530</v>
      </c>
      <c r="H139" s="73" t="s">
        <v>531</v>
      </c>
      <c r="I139" s="73" t="s">
        <v>532</v>
      </c>
    </row>
    <row r="140" ht="48.0" customHeight="1">
      <c r="A140" s="27" t="s">
        <v>533</v>
      </c>
      <c r="B140" s="27" t="s">
        <v>534</v>
      </c>
      <c r="C140" s="73" t="s">
        <v>174</v>
      </c>
      <c r="D140" s="75"/>
      <c r="E140" s="73" t="s">
        <v>516</v>
      </c>
      <c r="F140" s="73" t="s">
        <v>529</v>
      </c>
      <c r="G140" s="74" t="s">
        <v>530</v>
      </c>
      <c r="H140" s="73" t="s">
        <v>531</v>
      </c>
      <c r="I140" s="73">
        <v>12.8</v>
      </c>
    </row>
    <row r="141" ht="36.0" customHeight="1">
      <c r="A141" s="27" t="s">
        <v>535</v>
      </c>
      <c r="B141" s="27" t="s">
        <v>536</v>
      </c>
      <c r="C141" s="73" t="s">
        <v>174</v>
      </c>
      <c r="D141" s="75"/>
      <c r="E141" s="73" t="s">
        <v>516</v>
      </c>
      <c r="F141" s="73" t="s">
        <v>529</v>
      </c>
      <c r="G141" s="74" t="s">
        <v>530</v>
      </c>
      <c r="H141" s="73" t="s">
        <v>531</v>
      </c>
      <c r="I141" s="75"/>
    </row>
    <row r="142" ht="36.0" customHeight="1">
      <c r="A142" s="27" t="s">
        <v>537</v>
      </c>
      <c r="B142" s="27" t="s">
        <v>538</v>
      </c>
      <c r="C142" s="73" t="s">
        <v>174</v>
      </c>
      <c r="D142" s="75"/>
      <c r="E142" s="73" t="s">
        <v>516</v>
      </c>
      <c r="F142" s="73" t="s">
        <v>539</v>
      </c>
      <c r="G142" s="74" t="s">
        <v>530</v>
      </c>
      <c r="H142" s="73" t="s">
        <v>531</v>
      </c>
      <c r="I142" s="75"/>
    </row>
    <row r="143" ht="72.0" customHeight="1">
      <c r="A143" s="27" t="s">
        <v>540</v>
      </c>
      <c r="B143" s="27" t="s">
        <v>541</v>
      </c>
      <c r="C143" s="73" t="s">
        <v>174</v>
      </c>
      <c r="D143" s="75"/>
      <c r="E143" s="73" t="s">
        <v>542</v>
      </c>
      <c r="F143" s="75"/>
      <c r="G143" s="74" t="s">
        <v>543</v>
      </c>
      <c r="H143" s="73" t="s">
        <v>544</v>
      </c>
      <c r="I143" s="75"/>
    </row>
    <row r="144" ht="48.0" customHeight="1">
      <c r="A144" s="27" t="s">
        <v>545</v>
      </c>
      <c r="B144" s="27" t="s">
        <v>546</v>
      </c>
      <c r="C144" s="73" t="s">
        <v>174</v>
      </c>
      <c r="D144" s="75"/>
      <c r="E144" s="73" t="s">
        <v>516</v>
      </c>
      <c r="F144" s="73" t="s">
        <v>547</v>
      </c>
      <c r="G144" s="74" t="s">
        <v>530</v>
      </c>
      <c r="H144" s="73" t="s">
        <v>531</v>
      </c>
      <c r="I144" s="75"/>
    </row>
    <row r="145" ht="36.0" customHeight="1">
      <c r="A145" s="27" t="s">
        <v>549</v>
      </c>
      <c r="B145" s="27" t="s">
        <v>550</v>
      </c>
      <c r="C145" s="73" t="s">
        <v>174</v>
      </c>
      <c r="D145" s="75"/>
      <c r="E145" s="73" t="s">
        <v>516</v>
      </c>
      <c r="F145" s="73" t="s">
        <v>529</v>
      </c>
      <c r="G145" s="74" t="s">
        <v>551</v>
      </c>
      <c r="H145" s="73" t="s">
        <v>531</v>
      </c>
      <c r="I145" s="73" t="s">
        <v>532</v>
      </c>
    </row>
    <row r="146" ht="48.0" customHeight="1">
      <c r="A146" s="27" t="s">
        <v>552</v>
      </c>
      <c r="B146" s="27" t="s">
        <v>553</v>
      </c>
      <c r="C146" s="73" t="s">
        <v>174</v>
      </c>
      <c r="D146" s="75"/>
      <c r="E146" s="73" t="s">
        <v>516</v>
      </c>
      <c r="F146" s="73" t="s">
        <v>529</v>
      </c>
      <c r="G146" s="74" t="s">
        <v>554</v>
      </c>
      <c r="H146" s="73" t="s">
        <v>555</v>
      </c>
      <c r="I146" s="73" t="s">
        <v>532</v>
      </c>
    </row>
    <row r="147" ht="48.0" customHeight="1">
      <c r="A147" s="27" t="s">
        <v>556</v>
      </c>
      <c r="B147" s="27" t="s">
        <v>557</v>
      </c>
      <c r="C147" s="73" t="s">
        <v>160</v>
      </c>
      <c r="D147" s="75"/>
      <c r="E147" s="73" t="s">
        <v>516</v>
      </c>
      <c r="F147" s="75"/>
      <c r="G147" s="74" t="s">
        <v>530</v>
      </c>
      <c r="H147" s="73" t="s">
        <v>555</v>
      </c>
      <c r="I147" s="73">
        <v>12.8</v>
      </c>
    </row>
    <row r="148" ht="72.75" customHeight="1">
      <c r="A148" s="27" t="s">
        <v>558</v>
      </c>
      <c r="B148" s="27" t="s">
        <v>559</v>
      </c>
      <c r="C148" s="73" t="s">
        <v>160</v>
      </c>
      <c r="D148" s="75"/>
      <c r="E148" s="73" t="s">
        <v>560</v>
      </c>
      <c r="F148" s="73" t="s">
        <v>561</v>
      </c>
      <c r="G148" s="74" t="s">
        <v>562</v>
      </c>
      <c r="H148" s="73" t="s">
        <v>563</v>
      </c>
      <c r="I148" s="73" t="s">
        <v>532</v>
      </c>
    </row>
    <row r="149" ht="36.0" customHeight="1">
      <c r="A149" s="27" t="s">
        <v>564</v>
      </c>
      <c r="B149" s="27" t="s">
        <v>565</v>
      </c>
      <c r="C149" s="73" t="s">
        <v>160</v>
      </c>
      <c r="D149" s="75"/>
      <c r="E149" s="73" t="s">
        <v>566</v>
      </c>
      <c r="F149" s="73" t="s">
        <v>561</v>
      </c>
      <c r="G149" s="74" t="s">
        <v>567</v>
      </c>
      <c r="H149" s="73" t="s">
        <v>568</v>
      </c>
      <c r="I149" s="75"/>
    </row>
    <row r="150" ht="48.0" customHeight="1">
      <c r="A150" s="27" t="s">
        <v>569</v>
      </c>
      <c r="B150" s="27" t="s">
        <v>570</v>
      </c>
      <c r="C150" s="73" t="s">
        <v>160</v>
      </c>
      <c r="D150" s="75"/>
      <c r="E150" s="73" t="s">
        <v>566</v>
      </c>
      <c r="F150" s="73" t="s">
        <v>572</v>
      </c>
      <c r="G150" s="74" t="s">
        <v>567</v>
      </c>
      <c r="H150" s="73" t="s">
        <v>573</v>
      </c>
      <c r="I150" s="75"/>
    </row>
    <row r="151" ht="48.0" customHeight="1">
      <c r="A151" s="27" t="s">
        <v>574</v>
      </c>
      <c r="B151" s="27" t="s">
        <v>575</v>
      </c>
      <c r="C151" s="73" t="s">
        <v>160</v>
      </c>
      <c r="D151" s="75"/>
      <c r="E151" s="73" t="s">
        <v>566</v>
      </c>
      <c r="F151" s="73" t="s">
        <v>561</v>
      </c>
      <c r="G151" s="74" t="s">
        <v>576</v>
      </c>
      <c r="H151" s="73" t="s">
        <v>577</v>
      </c>
      <c r="I151" s="73" t="s">
        <v>485</v>
      </c>
    </row>
    <row r="152" ht="36.0" customHeight="1">
      <c r="A152" s="27" t="s">
        <v>579</v>
      </c>
      <c r="B152" s="27" t="s">
        <v>580</v>
      </c>
      <c r="C152" s="73" t="s">
        <v>160</v>
      </c>
      <c r="D152" s="75"/>
      <c r="E152" s="73" t="s">
        <v>164</v>
      </c>
      <c r="F152" s="73" t="s">
        <v>165</v>
      </c>
      <c r="G152" s="77"/>
      <c r="H152" s="75"/>
      <c r="I152" s="75"/>
    </row>
    <row r="153" ht="36.0" customHeight="1">
      <c r="A153" s="27" t="s">
        <v>581</v>
      </c>
      <c r="B153" s="27" t="s">
        <v>582</v>
      </c>
      <c r="C153" s="73" t="s">
        <v>583</v>
      </c>
      <c r="D153" s="75"/>
      <c r="E153" s="73" t="s">
        <v>584</v>
      </c>
      <c r="F153" s="73" t="s">
        <v>305</v>
      </c>
      <c r="G153" s="77"/>
      <c r="H153" s="75"/>
      <c r="I153" s="75"/>
    </row>
    <row r="154" ht="36.0" customHeight="1">
      <c r="A154" s="18" t="str">
        <f>IF($C$28="","Database",IF($C$28="Yes","Database - Optional based on QUALIFIER response.","Database"))</f>
        <v>Database</v>
      </c>
      <c r="B154" s="3"/>
      <c r="C154" s="65" t="str">
        <f>$C$20</f>
        <v>CIS Critical Security Controls v6.1</v>
      </c>
      <c r="D154" s="65" t="str">
        <f>$D$20</f>
        <v>HIPAA</v>
      </c>
      <c r="E154" s="65" t="str">
        <f>$E$20</f>
        <v>ISO 27002:2013</v>
      </c>
      <c r="F154" s="65" t="str">
        <f>$F$20</f>
        <v>NIST Cybersecurity Framework</v>
      </c>
      <c r="G154" s="20" t="str">
        <f>$G$20</f>
        <v>NIST SP 800-171r1</v>
      </c>
      <c r="H154" s="65" t="str">
        <f>$H$20</f>
        <v>NIST SP 800-53r4</v>
      </c>
      <c r="I154" s="20" t="s">
        <v>157</v>
      </c>
    </row>
    <row r="155" ht="36.0" customHeight="1">
      <c r="A155" s="27" t="s">
        <v>590</v>
      </c>
      <c r="B155" s="27" t="s">
        <v>591</v>
      </c>
      <c r="C155" s="73" t="s">
        <v>160</v>
      </c>
      <c r="D155" s="93"/>
      <c r="E155" s="73" t="s">
        <v>488</v>
      </c>
      <c r="F155" s="73" t="s">
        <v>494</v>
      </c>
      <c r="G155" s="77"/>
      <c r="H155" s="93"/>
      <c r="I155" s="93"/>
    </row>
    <row r="156" ht="36.75" customHeight="1">
      <c r="A156" s="27" t="s">
        <v>592</v>
      </c>
      <c r="B156" s="27" t="s">
        <v>593</v>
      </c>
      <c r="C156" s="73" t="s">
        <v>160</v>
      </c>
      <c r="D156" s="93"/>
      <c r="E156" s="73" t="s">
        <v>488</v>
      </c>
      <c r="F156" s="73" t="s">
        <v>594</v>
      </c>
      <c r="G156" s="77"/>
      <c r="H156" s="93"/>
      <c r="I156" s="93"/>
    </row>
    <row r="157" ht="36.0" customHeight="1">
      <c r="A157" s="18" t="str">
        <f>IF($C$28="","Datacenter",IF($C$28="Yes","Datacenter - Optional based on QUALIFIER response.","Datacenter"))</f>
        <v>Datacenter</v>
      </c>
      <c r="B157" s="3"/>
      <c r="C157" s="65" t="str">
        <f>$C$20</f>
        <v>CIS Critical Security Controls v6.1</v>
      </c>
      <c r="D157" s="65" t="str">
        <f>$D$20</f>
        <v>HIPAA</v>
      </c>
      <c r="E157" s="65" t="str">
        <f>$E$20</f>
        <v>ISO 27002:2013</v>
      </c>
      <c r="F157" s="65" t="str">
        <f>$F$20</f>
        <v>NIST Cybersecurity Framework</v>
      </c>
      <c r="G157" s="20" t="str">
        <f>$G$20</f>
        <v>NIST SP 800-171r1</v>
      </c>
      <c r="H157" s="65" t="str">
        <f>$H$20</f>
        <v>NIST SP 800-53r4</v>
      </c>
      <c r="I157" s="20" t="s">
        <v>157</v>
      </c>
    </row>
    <row r="158" ht="48.75" customHeight="1">
      <c r="A158" s="27" t="s">
        <v>597</v>
      </c>
      <c r="B158" s="27" t="s">
        <v>598</v>
      </c>
      <c r="C158" s="73" t="s">
        <v>182</v>
      </c>
      <c r="D158" s="93"/>
      <c r="E158" s="73" t="s">
        <v>599</v>
      </c>
      <c r="F158" s="73" t="s">
        <v>477</v>
      </c>
      <c r="G158" s="77"/>
      <c r="H158" s="93"/>
      <c r="I158" s="73" t="s">
        <v>485</v>
      </c>
    </row>
    <row r="159" ht="48.0" customHeight="1">
      <c r="A159" s="27" t="s">
        <v>600</v>
      </c>
      <c r="B159" s="27" t="s">
        <v>601</v>
      </c>
      <c r="C159" s="73" t="s">
        <v>160</v>
      </c>
      <c r="D159" s="93"/>
      <c r="E159" s="73" t="s">
        <v>599</v>
      </c>
      <c r="F159" s="75"/>
      <c r="G159" s="77"/>
      <c r="H159" s="93"/>
      <c r="I159" s="93"/>
    </row>
    <row r="160" ht="36.0" customHeight="1">
      <c r="A160" s="27" t="s">
        <v>602</v>
      </c>
      <c r="B160" s="27" t="s">
        <v>603</v>
      </c>
      <c r="C160" s="73" t="s">
        <v>604</v>
      </c>
      <c r="D160" s="93"/>
      <c r="E160" s="73" t="s">
        <v>415</v>
      </c>
      <c r="F160" s="75"/>
      <c r="G160" s="77"/>
      <c r="H160" s="93"/>
      <c r="I160" s="93"/>
    </row>
    <row r="161" ht="46.5" customHeight="1">
      <c r="A161" s="27" t="s">
        <v>605</v>
      </c>
      <c r="B161" s="27" t="s">
        <v>606</v>
      </c>
      <c r="C161" s="73" t="s">
        <v>607</v>
      </c>
      <c r="D161" s="93"/>
      <c r="E161" s="75"/>
      <c r="F161" s="75"/>
      <c r="G161" s="77"/>
      <c r="H161" s="73" t="s">
        <v>227</v>
      </c>
      <c r="I161" s="73">
        <v>12.8</v>
      </c>
    </row>
    <row r="162" ht="46.5" customHeight="1">
      <c r="A162" s="27" t="s">
        <v>609</v>
      </c>
      <c r="B162" s="27" t="s">
        <v>610</v>
      </c>
      <c r="C162" s="73" t="s">
        <v>607</v>
      </c>
      <c r="D162" s="93"/>
      <c r="E162" s="73" t="s">
        <v>611</v>
      </c>
      <c r="F162" s="73" t="s">
        <v>612</v>
      </c>
      <c r="G162" s="77"/>
      <c r="H162" s="93"/>
      <c r="I162" s="73" t="s">
        <v>532</v>
      </c>
    </row>
    <row r="163" ht="48.0" customHeight="1">
      <c r="A163" s="27" t="s">
        <v>613</v>
      </c>
      <c r="B163" s="27" t="s">
        <v>614</v>
      </c>
      <c r="C163" s="73" t="s">
        <v>182</v>
      </c>
      <c r="D163" s="93"/>
      <c r="E163" s="73" t="s">
        <v>615</v>
      </c>
      <c r="F163" s="73" t="s">
        <v>612</v>
      </c>
      <c r="G163" s="74" t="s">
        <v>576</v>
      </c>
      <c r="H163" s="93"/>
      <c r="I163" s="73" t="s">
        <v>532</v>
      </c>
    </row>
    <row r="164" ht="46.5" customHeight="1">
      <c r="A164" s="27" t="s">
        <v>616</v>
      </c>
      <c r="B164" s="27" t="s">
        <v>617</v>
      </c>
      <c r="C164" s="73" t="s">
        <v>618</v>
      </c>
      <c r="D164" s="93"/>
      <c r="E164" s="75"/>
      <c r="F164" s="73" t="s">
        <v>619</v>
      </c>
      <c r="G164" s="74" t="s">
        <v>620</v>
      </c>
      <c r="H164" s="93"/>
      <c r="I164" s="93"/>
    </row>
    <row r="165" ht="36.0" customHeight="1">
      <c r="A165" s="27" t="s">
        <v>621</v>
      </c>
      <c r="B165" s="27" t="s">
        <v>622</v>
      </c>
      <c r="C165" s="73" t="s">
        <v>274</v>
      </c>
      <c r="D165" s="93"/>
      <c r="E165" s="73" t="s">
        <v>164</v>
      </c>
      <c r="F165" s="75"/>
      <c r="G165" s="77"/>
      <c r="H165" s="93"/>
      <c r="I165" s="73">
        <v>12.8</v>
      </c>
    </row>
    <row r="166" ht="36.0" customHeight="1">
      <c r="A166" s="27" t="s">
        <v>624</v>
      </c>
      <c r="B166" s="27" t="s">
        <v>625</v>
      </c>
      <c r="C166" s="73" t="s">
        <v>274</v>
      </c>
      <c r="D166" s="93"/>
      <c r="E166" s="73" t="s">
        <v>164</v>
      </c>
      <c r="F166" s="75"/>
      <c r="G166" s="77"/>
      <c r="H166" s="93"/>
      <c r="I166" s="73">
        <v>12.9</v>
      </c>
    </row>
    <row r="167" ht="63.75" customHeight="1">
      <c r="A167" s="27" t="s">
        <v>626</v>
      </c>
      <c r="B167" s="27" t="s">
        <v>627</v>
      </c>
      <c r="C167" s="73" t="s">
        <v>274</v>
      </c>
      <c r="D167" s="93"/>
      <c r="E167" s="73" t="s">
        <v>628</v>
      </c>
      <c r="F167" s="75"/>
      <c r="G167" s="101"/>
      <c r="H167" s="93"/>
      <c r="I167" s="73">
        <v>12.8</v>
      </c>
    </row>
    <row r="168" ht="52.5" customHeight="1">
      <c r="A168" s="27" t="s">
        <v>629</v>
      </c>
      <c r="B168" s="27" t="s">
        <v>630</v>
      </c>
      <c r="C168" s="73" t="s">
        <v>174</v>
      </c>
      <c r="D168" s="93"/>
      <c r="E168" s="73" t="s">
        <v>631</v>
      </c>
      <c r="F168" s="75"/>
      <c r="G168" s="77"/>
      <c r="H168" s="93"/>
      <c r="I168" s="73">
        <v>12.8</v>
      </c>
    </row>
    <row r="169" ht="36.0" customHeight="1">
      <c r="A169" s="27" t="s">
        <v>632</v>
      </c>
      <c r="B169" s="27" t="s">
        <v>633</v>
      </c>
      <c r="C169" s="73" t="s">
        <v>274</v>
      </c>
      <c r="D169" s="93"/>
      <c r="E169" s="73" t="s">
        <v>164</v>
      </c>
      <c r="F169" s="75"/>
      <c r="G169" s="77"/>
      <c r="H169" s="93"/>
      <c r="I169" s="73">
        <v>12.8</v>
      </c>
    </row>
    <row r="170" ht="36.0" customHeight="1">
      <c r="A170" s="27" t="s">
        <v>635</v>
      </c>
      <c r="B170" s="27" t="s">
        <v>636</v>
      </c>
      <c r="C170" s="75"/>
      <c r="D170" s="93"/>
      <c r="E170" s="73" t="s">
        <v>383</v>
      </c>
      <c r="F170" s="75"/>
      <c r="G170" s="77"/>
      <c r="H170" s="93"/>
      <c r="I170" s="93"/>
    </row>
    <row r="171" ht="48.0" customHeight="1">
      <c r="A171" s="27" t="s">
        <v>637</v>
      </c>
      <c r="B171" s="27" t="s">
        <v>638</v>
      </c>
      <c r="C171" s="73" t="s">
        <v>174</v>
      </c>
      <c r="D171" s="93"/>
      <c r="E171" s="73" t="s">
        <v>383</v>
      </c>
      <c r="F171" s="73" t="s">
        <v>639</v>
      </c>
      <c r="G171" s="77"/>
      <c r="H171" s="93"/>
      <c r="I171" s="93"/>
      <c r="J171" s="79"/>
      <c r="K171" s="79"/>
      <c r="L171" s="79"/>
      <c r="M171" s="79"/>
      <c r="N171" s="79"/>
      <c r="O171" s="79"/>
      <c r="P171" s="79"/>
      <c r="Q171" s="79"/>
      <c r="R171" s="79"/>
      <c r="S171" s="79"/>
      <c r="T171" s="79"/>
      <c r="U171" s="79"/>
      <c r="V171" s="79"/>
      <c r="W171" s="79"/>
      <c r="X171" s="79"/>
      <c r="Y171" s="79"/>
      <c r="Z171" s="79"/>
      <c r="AA171" s="79"/>
      <c r="AB171" s="79"/>
      <c r="AC171" s="79"/>
    </row>
    <row r="172" ht="63.75" customHeight="1">
      <c r="A172" s="27" t="s">
        <v>640</v>
      </c>
      <c r="B172" s="27" t="s">
        <v>641</v>
      </c>
      <c r="C172" s="75"/>
      <c r="D172" s="93"/>
      <c r="E172" s="73" t="s">
        <v>415</v>
      </c>
      <c r="F172" s="73" t="s">
        <v>639</v>
      </c>
      <c r="G172" s="77"/>
      <c r="H172" s="93"/>
      <c r="I172" s="93"/>
    </row>
    <row r="173" ht="36.0" customHeight="1">
      <c r="A173" s="27" t="s">
        <v>643</v>
      </c>
      <c r="B173" s="27" t="s">
        <v>644</v>
      </c>
      <c r="C173" s="75"/>
      <c r="D173" s="93"/>
      <c r="E173" s="73" t="s">
        <v>403</v>
      </c>
      <c r="F173" s="73" t="s">
        <v>639</v>
      </c>
      <c r="G173" s="101"/>
      <c r="H173" s="93"/>
      <c r="I173" s="93"/>
    </row>
    <row r="174" ht="48.0" customHeight="1">
      <c r="A174" s="27" t="s">
        <v>645</v>
      </c>
      <c r="B174" s="27" t="s">
        <v>646</v>
      </c>
      <c r="C174" s="75"/>
      <c r="D174" s="93"/>
      <c r="E174" s="73" t="s">
        <v>415</v>
      </c>
      <c r="F174" s="75"/>
      <c r="G174" s="101"/>
      <c r="H174" s="73" t="s">
        <v>647</v>
      </c>
      <c r="I174" s="93"/>
    </row>
    <row r="175" ht="48.0" customHeight="1">
      <c r="A175" s="27" t="s">
        <v>648</v>
      </c>
      <c r="B175" s="27" t="s">
        <v>649</v>
      </c>
      <c r="C175" s="73" t="s">
        <v>174</v>
      </c>
      <c r="D175" s="93"/>
      <c r="E175" s="73" t="s">
        <v>415</v>
      </c>
      <c r="F175" s="73" t="s">
        <v>639</v>
      </c>
      <c r="G175" s="101"/>
      <c r="H175" s="73" t="s">
        <v>647</v>
      </c>
      <c r="I175" s="73">
        <v>12.8</v>
      </c>
    </row>
    <row r="176" ht="48.0" customHeight="1">
      <c r="A176" s="27" t="s">
        <v>650</v>
      </c>
      <c r="B176" s="27" t="s">
        <v>651</v>
      </c>
      <c r="C176" s="73" t="s">
        <v>160</v>
      </c>
      <c r="D176" s="93"/>
      <c r="E176" s="73" t="s">
        <v>415</v>
      </c>
      <c r="F176" s="73" t="s">
        <v>639</v>
      </c>
      <c r="G176" s="77"/>
      <c r="H176" s="73" t="s">
        <v>647</v>
      </c>
      <c r="I176" s="73">
        <v>12.8</v>
      </c>
    </row>
    <row r="177" ht="36.0" customHeight="1">
      <c r="A177" s="18" t="str">
        <f>IF(OR($C$26="No",$C$28="Yes"),"DRP - Optional based on QUALIFIER response.","Disaster Recovery Plan")</f>
        <v>Disaster Recovery Plan</v>
      </c>
      <c r="B177" s="3"/>
      <c r="C177" s="65" t="str">
        <f>$C$20</f>
        <v>CIS Critical Security Controls v6.1</v>
      </c>
      <c r="D177" s="65" t="str">
        <f>$D$20</f>
        <v>HIPAA</v>
      </c>
      <c r="E177" s="65" t="str">
        <f>$E$20</f>
        <v>ISO 27002:2013</v>
      </c>
      <c r="F177" s="65" t="str">
        <f>$F$20</f>
        <v>NIST Cybersecurity Framework</v>
      </c>
      <c r="G177" s="20" t="str">
        <f>$G$20</f>
        <v>NIST SP 800-171r1</v>
      </c>
      <c r="H177" s="65" t="str">
        <f>$H$20</f>
        <v>NIST SP 800-53r4</v>
      </c>
      <c r="I177" s="20" t="s">
        <v>157</v>
      </c>
    </row>
    <row r="178" ht="48.0" customHeight="1">
      <c r="A178" s="27" t="s">
        <v>654</v>
      </c>
      <c r="B178" s="27" t="s">
        <v>655</v>
      </c>
      <c r="C178" s="73" t="s">
        <v>174</v>
      </c>
      <c r="D178" s="93"/>
      <c r="E178" s="73" t="s">
        <v>383</v>
      </c>
      <c r="F178" s="73" t="s">
        <v>176</v>
      </c>
      <c r="G178" s="74" t="s">
        <v>384</v>
      </c>
      <c r="H178" s="102" t="s">
        <v>388</v>
      </c>
      <c r="I178" s="102">
        <v>12.8</v>
      </c>
    </row>
    <row r="179" ht="46.5" customHeight="1">
      <c r="A179" s="27" t="s">
        <v>656</v>
      </c>
      <c r="B179" s="27" t="s">
        <v>657</v>
      </c>
      <c r="C179" s="73" t="s">
        <v>174</v>
      </c>
      <c r="D179" s="93"/>
      <c r="E179" s="73" t="s">
        <v>658</v>
      </c>
      <c r="F179" s="73" t="s">
        <v>176</v>
      </c>
      <c r="G179" s="74" t="s">
        <v>384</v>
      </c>
      <c r="H179" s="102" t="s">
        <v>388</v>
      </c>
      <c r="I179" s="102">
        <v>12.8</v>
      </c>
    </row>
    <row r="180" ht="46.5" customHeight="1">
      <c r="A180" s="27" t="s">
        <v>659</v>
      </c>
      <c r="B180" s="27" t="s">
        <v>660</v>
      </c>
      <c r="C180" s="73" t="s">
        <v>174</v>
      </c>
      <c r="D180" s="93"/>
      <c r="E180" s="75"/>
      <c r="F180" s="73" t="s">
        <v>176</v>
      </c>
      <c r="G180" s="74" t="s">
        <v>384</v>
      </c>
      <c r="H180" s="102" t="s">
        <v>388</v>
      </c>
      <c r="I180" s="102">
        <v>12.8</v>
      </c>
    </row>
    <row r="181" ht="46.5" customHeight="1">
      <c r="A181" s="27" t="s">
        <v>661</v>
      </c>
      <c r="B181" s="27" t="s">
        <v>662</v>
      </c>
      <c r="C181" s="73" t="s">
        <v>663</v>
      </c>
      <c r="D181" s="93"/>
      <c r="E181" s="73" t="s">
        <v>383</v>
      </c>
      <c r="F181" s="73" t="s">
        <v>176</v>
      </c>
      <c r="G181" s="77"/>
      <c r="H181" s="102" t="s">
        <v>388</v>
      </c>
      <c r="I181" s="102">
        <v>12.8</v>
      </c>
    </row>
    <row r="182" ht="46.5" customHeight="1">
      <c r="A182" s="27" t="s">
        <v>665</v>
      </c>
      <c r="B182" s="27" t="s">
        <v>666</v>
      </c>
      <c r="C182" s="73" t="s">
        <v>174</v>
      </c>
      <c r="D182" s="93"/>
      <c r="E182" s="73" t="s">
        <v>415</v>
      </c>
      <c r="F182" s="73" t="s">
        <v>176</v>
      </c>
      <c r="G182" s="77"/>
      <c r="H182" s="102" t="s">
        <v>388</v>
      </c>
      <c r="I182" s="77"/>
    </row>
    <row r="183" ht="46.5" customHeight="1">
      <c r="A183" s="27" t="s">
        <v>667</v>
      </c>
      <c r="B183" s="27" t="s">
        <v>668</v>
      </c>
      <c r="C183" s="73" t="s">
        <v>174</v>
      </c>
      <c r="D183" s="93"/>
      <c r="E183" s="73" t="s">
        <v>403</v>
      </c>
      <c r="F183" s="73" t="s">
        <v>176</v>
      </c>
      <c r="G183" s="77"/>
      <c r="H183" s="102" t="s">
        <v>388</v>
      </c>
      <c r="I183" s="77"/>
    </row>
    <row r="184" ht="46.5" customHeight="1">
      <c r="A184" s="27" t="s">
        <v>669</v>
      </c>
      <c r="B184" s="27" t="s">
        <v>670</v>
      </c>
      <c r="C184" s="73" t="s">
        <v>174</v>
      </c>
      <c r="D184" s="93"/>
      <c r="E184" s="75"/>
      <c r="F184" s="73" t="s">
        <v>176</v>
      </c>
      <c r="G184" s="74" t="s">
        <v>384</v>
      </c>
      <c r="H184" s="102" t="s">
        <v>388</v>
      </c>
      <c r="I184" s="102">
        <v>12.8</v>
      </c>
    </row>
    <row r="185" ht="46.5" customHeight="1">
      <c r="A185" s="27" t="s">
        <v>672</v>
      </c>
      <c r="B185" s="27" t="s">
        <v>673</v>
      </c>
      <c r="C185" s="73" t="s">
        <v>174</v>
      </c>
      <c r="D185" s="93"/>
      <c r="E185" s="73" t="s">
        <v>175</v>
      </c>
      <c r="F185" s="73" t="s">
        <v>176</v>
      </c>
      <c r="G185" s="74" t="s">
        <v>384</v>
      </c>
      <c r="H185" s="102" t="s">
        <v>388</v>
      </c>
      <c r="I185" s="102">
        <v>12.8</v>
      </c>
    </row>
    <row r="186" ht="63.75" customHeight="1">
      <c r="A186" s="27" t="s">
        <v>674</v>
      </c>
      <c r="B186" s="27" t="s">
        <v>675</v>
      </c>
      <c r="C186" s="73" t="s">
        <v>174</v>
      </c>
      <c r="D186" s="93"/>
      <c r="E186" s="73" t="s">
        <v>403</v>
      </c>
      <c r="F186" s="73" t="s">
        <v>176</v>
      </c>
      <c r="G186" s="74" t="s">
        <v>384</v>
      </c>
      <c r="H186" s="102" t="s">
        <v>388</v>
      </c>
      <c r="I186" s="77"/>
    </row>
    <row r="187" ht="63.75" customHeight="1">
      <c r="A187" s="27" t="s">
        <v>676</v>
      </c>
      <c r="B187" s="27" t="s">
        <v>677</v>
      </c>
      <c r="C187" s="73" t="s">
        <v>174</v>
      </c>
      <c r="D187" s="93"/>
      <c r="E187" s="73" t="s">
        <v>403</v>
      </c>
      <c r="F187" s="73" t="s">
        <v>176</v>
      </c>
      <c r="G187" s="74" t="s">
        <v>384</v>
      </c>
      <c r="H187" s="102" t="s">
        <v>388</v>
      </c>
      <c r="I187" s="77"/>
    </row>
    <row r="188" ht="48.0" customHeight="1">
      <c r="A188" s="27" t="s">
        <v>678</v>
      </c>
      <c r="B188" s="27" t="s">
        <v>679</v>
      </c>
      <c r="C188" s="73" t="s">
        <v>174</v>
      </c>
      <c r="D188" s="93"/>
      <c r="E188" s="73" t="s">
        <v>680</v>
      </c>
      <c r="F188" s="73" t="s">
        <v>176</v>
      </c>
      <c r="G188" s="77"/>
      <c r="H188" s="102" t="s">
        <v>388</v>
      </c>
      <c r="I188" s="102">
        <v>12.8</v>
      </c>
    </row>
    <row r="189" ht="48.0" customHeight="1">
      <c r="A189" s="27" t="s">
        <v>681</v>
      </c>
      <c r="B189" s="27" t="s">
        <v>682</v>
      </c>
      <c r="C189" s="73" t="s">
        <v>174</v>
      </c>
      <c r="D189" s="93"/>
      <c r="E189" s="73" t="s">
        <v>383</v>
      </c>
      <c r="F189" s="73" t="s">
        <v>176</v>
      </c>
      <c r="G189" s="74" t="s">
        <v>384</v>
      </c>
      <c r="H189" s="102" t="s">
        <v>388</v>
      </c>
      <c r="I189" s="77"/>
    </row>
    <row r="190" ht="48.0" customHeight="1">
      <c r="A190" s="27" t="s">
        <v>683</v>
      </c>
      <c r="B190" s="27" t="s">
        <v>684</v>
      </c>
      <c r="C190" s="75"/>
      <c r="D190" s="93"/>
      <c r="E190" s="75"/>
      <c r="F190" s="75"/>
      <c r="G190" s="74" t="s">
        <v>685</v>
      </c>
      <c r="H190" s="102" t="s">
        <v>388</v>
      </c>
      <c r="I190" s="102">
        <v>12.8</v>
      </c>
    </row>
    <row r="191" ht="36.0" customHeight="1">
      <c r="A191" s="18" t="str">
        <f>IF($C$28="","Firewalls, IDS, IPS, and Networking",IF($C$28="Yes","FW/IDPS/Networks - Optional based on QUALIFIER response.","Firewalls, IDS, IPS, and Networking"))</f>
        <v>Firewalls, IDS, IPS, and Networking</v>
      </c>
      <c r="B191" s="3"/>
      <c r="C191" s="65" t="str">
        <f>$C$20</f>
        <v>CIS Critical Security Controls v6.1</v>
      </c>
      <c r="D191" s="65" t="str">
        <f>$D$20</f>
        <v>HIPAA</v>
      </c>
      <c r="E191" s="65" t="str">
        <f>$E$20</f>
        <v>ISO 27002:2013</v>
      </c>
      <c r="F191" s="65" t="str">
        <f>$F$20</f>
        <v>NIST Cybersecurity Framework</v>
      </c>
      <c r="G191" s="20" t="str">
        <f>$G$20</f>
        <v>NIST SP 800-171r1</v>
      </c>
      <c r="H191" s="65" t="str">
        <f>$H$20</f>
        <v>NIST SP 800-53r4</v>
      </c>
      <c r="I191" s="20" t="s">
        <v>157</v>
      </c>
    </row>
    <row r="192" ht="36.0" customHeight="1">
      <c r="A192" s="27" t="s">
        <v>690</v>
      </c>
      <c r="B192" s="27" t="s">
        <v>691</v>
      </c>
      <c r="C192" s="73" t="s">
        <v>618</v>
      </c>
      <c r="D192" s="93"/>
      <c r="E192" s="73" t="s">
        <v>692</v>
      </c>
      <c r="F192" s="73" t="s">
        <v>693</v>
      </c>
      <c r="G192" s="77"/>
      <c r="H192" s="75"/>
      <c r="I192" s="74">
        <v>1.1</v>
      </c>
    </row>
    <row r="193" ht="36.0" customHeight="1">
      <c r="A193" s="27" t="s">
        <v>694</v>
      </c>
      <c r="B193" s="27" t="s">
        <v>695</v>
      </c>
      <c r="C193" s="73" t="s">
        <v>618</v>
      </c>
      <c r="D193" s="93"/>
      <c r="E193" s="73" t="s">
        <v>692</v>
      </c>
      <c r="F193" s="73" t="s">
        <v>693</v>
      </c>
      <c r="G193" s="77"/>
      <c r="H193" s="75"/>
      <c r="I193" s="74">
        <v>1.1</v>
      </c>
    </row>
    <row r="194" ht="48.0" customHeight="1">
      <c r="A194" s="27" t="s">
        <v>696</v>
      </c>
      <c r="B194" s="27" t="s">
        <v>697</v>
      </c>
      <c r="C194" s="73" t="s">
        <v>618</v>
      </c>
      <c r="D194" s="93"/>
      <c r="E194" s="73" t="s">
        <v>698</v>
      </c>
      <c r="F194" s="73" t="s">
        <v>619</v>
      </c>
      <c r="G194" s="77"/>
      <c r="H194" s="75"/>
      <c r="I194" s="74">
        <v>1.1</v>
      </c>
    </row>
    <row r="195" ht="36.0" customHeight="1">
      <c r="A195" s="27" t="s">
        <v>699</v>
      </c>
      <c r="B195" s="27" t="s">
        <v>700</v>
      </c>
      <c r="C195" s="73" t="s">
        <v>618</v>
      </c>
      <c r="D195" s="93"/>
      <c r="E195" s="73" t="s">
        <v>424</v>
      </c>
      <c r="F195" s="73" t="s">
        <v>619</v>
      </c>
      <c r="G195" s="77"/>
      <c r="H195" s="75"/>
      <c r="I195" s="74">
        <v>1.1</v>
      </c>
    </row>
    <row r="196" ht="36.0" customHeight="1">
      <c r="A196" s="27" t="s">
        <v>701</v>
      </c>
      <c r="B196" s="27" t="s">
        <v>702</v>
      </c>
      <c r="C196" s="73" t="s">
        <v>703</v>
      </c>
      <c r="D196" s="93"/>
      <c r="E196" s="73" t="s">
        <v>611</v>
      </c>
      <c r="F196" s="73" t="s">
        <v>704</v>
      </c>
      <c r="G196" s="74" t="s">
        <v>705</v>
      </c>
      <c r="H196" s="73" t="s">
        <v>706</v>
      </c>
      <c r="I196" s="74">
        <v>11.4</v>
      </c>
    </row>
    <row r="197" ht="36.0" customHeight="1">
      <c r="A197" s="27" t="s">
        <v>707</v>
      </c>
      <c r="B197" s="27" t="s">
        <v>708</v>
      </c>
      <c r="C197" s="73" t="s">
        <v>703</v>
      </c>
      <c r="D197" s="93"/>
      <c r="E197" s="73" t="s">
        <v>611</v>
      </c>
      <c r="F197" s="73" t="s">
        <v>704</v>
      </c>
      <c r="G197" s="74" t="s">
        <v>705</v>
      </c>
      <c r="H197" s="73" t="s">
        <v>706</v>
      </c>
      <c r="I197" s="74">
        <v>11.4</v>
      </c>
    </row>
    <row r="198" ht="36.0" customHeight="1">
      <c r="A198" s="27" t="s">
        <v>709</v>
      </c>
      <c r="B198" s="27" t="s">
        <v>711</v>
      </c>
      <c r="C198" s="73" t="s">
        <v>703</v>
      </c>
      <c r="D198" s="93"/>
      <c r="E198" s="73" t="s">
        <v>611</v>
      </c>
      <c r="F198" s="73" t="s">
        <v>704</v>
      </c>
      <c r="G198" s="74" t="s">
        <v>705</v>
      </c>
      <c r="H198" s="73" t="s">
        <v>706</v>
      </c>
      <c r="I198" s="74">
        <v>11.4</v>
      </c>
    </row>
    <row r="199" ht="36.0" customHeight="1">
      <c r="A199" s="27" t="s">
        <v>712</v>
      </c>
      <c r="B199" s="27" t="s">
        <v>713</v>
      </c>
      <c r="C199" s="73" t="s">
        <v>703</v>
      </c>
      <c r="D199" s="93"/>
      <c r="E199" s="73" t="s">
        <v>611</v>
      </c>
      <c r="F199" s="73" t="s">
        <v>704</v>
      </c>
      <c r="G199" s="74" t="s">
        <v>705</v>
      </c>
      <c r="H199" s="73" t="s">
        <v>706</v>
      </c>
      <c r="I199" s="74">
        <v>11.4</v>
      </c>
    </row>
    <row r="200" ht="48.0" customHeight="1">
      <c r="A200" s="27" t="s">
        <v>714</v>
      </c>
      <c r="B200" s="27" t="s">
        <v>715</v>
      </c>
      <c r="C200" s="73" t="s">
        <v>703</v>
      </c>
      <c r="D200" s="93"/>
      <c r="E200" s="73" t="s">
        <v>716</v>
      </c>
      <c r="F200" s="75"/>
      <c r="G200" s="74" t="s">
        <v>705</v>
      </c>
      <c r="H200" s="73" t="s">
        <v>706</v>
      </c>
      <c r="I200" s="74">
        <v>11.5</v>
      </c>
    </row>
    <row r="201" ht="36.0" customHeight="1">
      <c r="A201" s="27" t="s">
        <v>717</v>
      </c>
      <c r="B201" s="27" t="s">
        <v>718</v>
      </c>
      <c r="C201" s="73" t="s">
        <v>703</v>
      </c>
      <c r="D201" s="93"/>
      <c r="E201" s="73" t="s">
        <v>716</v>
      </c>
      <c r="F201" s="73" t="s">
        <v>719</v>
      </c>
      <c r="G201" s="74" t="s">
        <v>705</v>
      </c>
      <c r="H201" s="73" t="s">
        <v>706</v>
      </c>
      <c r="I201" s="74">
        <v>11.4</v>
      </c>
    </row>
    <row r="202" ht="36.0" customHeight="1">
      <c r="A202" s="27" t="s">
        <v>720</v>
      </c>
      <c r="B202" s="27" t="s">
        <v>721</v>
      </c>
      <c r="C202" s="73" t="s">
        <v>722</v>
      </c>
      <c r="D202" s="93"/>
      <c r="E202" s="73" t="s">
        <v>716</v>
      </c>
      <c r="F202" s="73" t="s">
        <v>719</v>
      </c>
      <c r="G202" s="74" t="s">
        <v>705</v>
      </c>
      <c r="H202" s="73" t="s">
        <v>706</v>
      </c>
      <c r="I202" s="74" t="s">
        <v>723</v>
      </c>
    </row>
    <row r="203" ht="36.0" customHeight="1">
      <c r="A203" s="27" t="s">
        <v>724</v>
      </c>
      <c r="B203" s="27" t="s">
        <v>725</v>
      </c>
      <c r="C203" s="73" t="s">
        <v>361</v>
      </c>
      <c r="D203" s="93"/>
      <c r="E203" s="73" t="s">
        <v>716</v>
      </c>
      <c r="F203" s="73" t="s">
        <v>726</v>
      </c>
      <c r="G203" s="74" t="s">
        <v>727</v>
      </c>
      <c r="H203" s="73" t="s">
        <v>729</v>
      </c>
      <c r="I203" s="74" t="s">
        <v>730</v>
      </c>
    </row>
    <row r="204" ht="36.0" customHeight="1">
      <c r="A204" s="18" t="str">
        <f>IF(OR($C$23="No",$C$28="Yes"),"Mobile Applications - Optional based on QUALIFIER response.","Mobile Applications")</f>
        <v>Mobile Applications</v>
      </c>
      <c r="B204" s="3"/>
      <c r="C204" s="65" t="str">
        <f>$C$20</f>
        <v>CIS Critical Security Controls v6.1</v>
      </c>
      <c r="D204" s="65" t="str">
        <f>$D$20</f>
        <v>HIPAA</v>
      </c>
      <c r="E204" s="65" t="str">
        <f>$E$20</f>
        <v>ISO 27002:2013</v>
      </c>
      <c r="F204" s="65" t="str">
        <f>$F$20</f>
        <v>NIST Cybersecurity Framework</v>
      </c>
      <c r="G204" s="20" t="str">
        <f>$G$20</f>
        <v>NIST SP 800-171r1</v>
      </c>
      <c r="H204" s="65" t="str">
        <f>$H$20</f>
        <v>NIST SP 800-53r4</v>
      </c>
      <c r="I204" s="20" t="s">
        <v>157</v>
      </c>
    </row>
    <row r="205" ht="48.0" customHeight="1">
      <c r="A205" s="27" t="s">
        <v>736</v>
      </c>
      <c r="B205" s="27" t="s">
        <v>738</v>
      </c>
      <c r="C205" s="73" t="s">
        <v>169</v>
      </c>
      <c r="D205" s="93"/>
      <c r="E205" s="75"/>
      <c r="F205" s="75"/>
      <c r="G205" s="101"/>
      <c r="H205" s="75"/>
      <c r="I205" s="75"/>
    </row>
    <row r="206" ht="46.5" customHeight="1">
      <c r="A206" s="27" t="s">
        <v>739</v>
      </c>
      <c r="B206" s="27" t="s">
        <v>740</v>
      </c>
      <c r="C206" s="73" t="s">
        <v>604</v>
      </c>
      <c r="D206" s="93"/>
      <c r="E206" s="75"/>
      <c r="F206" s="73" t="s">
        <v>741</v>
      </c>
      <c r="G206" s="101"/>
      <c r="H206" s="75"/>
      <c r="I206" s="75"/>
    </row>
    <row r="207" ht="36.0" customHeight="1">
      <c r="A207" s="27" t="s">
        <v>742</v>
      </c>
      <c r="B207" s="27" t="s">
        <v>743</v>
      </c>
      <c r="C207" s="73" t="s">
        <v>169</v>
      </c>
      <c r="D207" s="93"/>
      <c r="E207" s="75"/>
      <c r="F207" s="73" t="s">
        <v>741</v>
      </c>
      <c r="G207" s="77"/>
      <c r="H207" s="75"/>
      <c r="I207" s="75"/>
    </row>
    <row r="208" ht="64.5" customHeight="1">
      <c r="A208" s="27" t="s">
        <v>744</v>
      </c>
      <c r="B208" s="27" t="s">
        <v>745</v>
      </c>
      <c r="C208" s="73" t="s">
        <v>746</v>
      </c>
      <c r="D208" s="93"/>
      <c r="E208" s="73" t="s">
        <v>747</v>
      </c>
      <c r="F208" s="73" t="s">
        <v>748</v>
      </c>
      <c r="G208" s="77"/>
      <c r="H208" s="75"/>
      <c r="I208" s="75"/>
    </row>
    <row r="209" ht="36.0" customHeight="1">
      <c r="A209" s="27" t="s">
        <v>749</v>
      </c>
      <c r="B209" s="27" t="s">
        <v>750</v>
      </c>
      <c r="C209" s="73" t="s">
        <v>160</v>
      </c>
      <c r="D209" s="93"/>
      <c r="E209" s="73" t="s">
        <v>751</v>
      </c>
      <c r="F209" s="73" t="s">
        <v>748</v>
      </c>
      <c r="G209" s="74" t="s">
        <v>752</v>
      </c>
      <c r="H209" s="73" t="s">
        <v>753</v>
      </c>
      <c r="I209" s="73">
        <v>4.1</v>
      </c>
    </row>
    <row r="210" ht="36.0" customHeight="1">
      <c r="A210" s="27" t="s">
        <v>754</v>
      </c>
      <c r="B210" s="27" t="s">
        <v>755</v>
      </c>
      <c r="C210" s="73" t="s">
        <v>182</v>
      </c>
      <c r="D210" s="93"/>
      <c r="E210" s="73" t="s">
        <v>751</v>
      </c>
      <c r="F210" s="73" t="s">
        <v>756</v>
      </c>
      <c r="G210" s="77"/>
      <c r="H210" s="75"/>
      <c r="I210" s="75"/>
    </row>
    <row r="211" ht="48.0" customHeight="1">
      <c r="A211" s="27" t="s">
        <v>757</v>
      </c>
      <c r="B211" s="27" t="s">
        <v>758</v>
      </c>
      <c r="C211" s="73" t="s">
        <v>318</v>
      </c>
      <c r="D211" s="93"/>
      <c r="E211" s="73" t="s">
        <v>759</v>
      </c>
      <c r="F211" s="75"/>
      <c r="G211" s="77"/>
      <c r="H211" s="75"/>
      <c r="I211" s="75"/>
    </row>
    <row r="212" ht="48.0" customHeight="1">
      <c r="A212" s="27" t="s">
        <v>760</v>
      </c>
      <c r="B212" s="27" t="s">
        <v>761</v>
      </c>
      <c r="C212" s="73" t="s">
        <v>318</v>
      </c>
      <c r="D212" s="93"/>
      <c r="E212" s="75"/>
      <c r="F212" s="75"/>
      <c r="G212" s="77"/>
      <c r="H212" s="75"/>
      <c r="I212" s="75"/>
    </row>
    <row r="213" ht="36.0" customHeight="1">
      <c r="A213" s="27" t="s">
        <v>762</v>
      </c>
      <c r="B213" s="27" t="s">
        <v>763</v>
      </c>
      <c r="C213" s="73" t="s">
        <v>169</v>
      </c>
      <c r="D213" s="93"/>
      <c r="E213" s="73" t="s">
        <v>206</v>
      </c>
      <c r="F213" s="73" t="s">
        <v>741</v>
      </c>
      <c r="G213" s="77"/>
      <c r="H213" s="75"/>
      <c r="I213" s="75"/>
    </row>
    <row r="214" ht="36.0" customHeight="1">
      <c r="A214" s="27" t="s">
        <v>764</v>
      </c>
      <c r="B214" s="27" t="s">
        <v>765</v>
      </c>
      <c r="C214" s="73" t="s">
        <v>169</v>
      </c>
      <c r="D214" s="93"/>
      <c r="E214" s="73" t="s">
        <v>766</v>
      </c>
      <c r="F214" s="73" t="s">
        <v>767</v>
      </c>
      <c r="G214" s="77"/>
      <c r="H214" s="75"/>
      <c r="I214" s="75"/>
    </row>
    <row r="215" ht="48.0" customHeight="1">
      <c r="A215" s="27" t="s">
        <v>768</v>
      </c>
      <c r="B215" s="27" t="s">
        <v>769</v>
      </c>
      <c r="C215" s="73" t="s">
        <v>169</v>
      </c>
      <c r="D215" s="93"/>
      <c r="E215" s="73" t="s">
        <v>766</v>
      </c>
      <c r="F215" s="73" t="s">
        <v>767</v>
      </c>
      <c r="G215" s="101"/>
      <c r="H215" s="75"/>
      <c r="I215" s="75"/>
    </row>
    <row r="216" ht="36.0" customHeight="1">
      <c r="A216" s="18" t="str">
        <f>IF($C$28="","Physical Security",IF($C$28="Yes","Physical Security - Optional based on QUALIFIER response.","Physical Security"))</f>
        <v>Physical Security</v>
      </c>
      <c r="B216" s="3"/>
      <c r="C216" s="65" t="str">
        <f>$C$20</f>
        <v>CIS Critical Security Controls v6.1</v>
      </c>
      <c r="D216" s="65" t="str">
        <f>$D$20</f>
        <v>HIPAA</v>
      </c>
      <c r="E216" s="65" t="str">
        <f>$E$20</f>
        <v>ISO 27002:2013</v>
      </c>
      <c r="F216" s="65" t="str">
        <f>$F$20</f>
        <v>NIST Cybersecurity Framework</v>
      </c>
      <c r="G216" s="20" t="str">
        <f>$G$20</f>
        <v>NIST SP 800-171r1</v>
      </c>
      <c r="H216" s="65" t="str">
        <f>$H$20</f>
        <v>NIST SP 800-53r4</v>
      </c>
      <c r="I216" s="20" t="s">
        <v>157</v>
      </c>
    </row>
    <row r="217" ht="63.75" customHeight="1">
      <c r="A217" s="27" t="s">
        <v>772</v>
      </c>
      <c r="B217" s="27" t="s">
        <v>773</v>
      </c>
      <c r="C217" s="73" t="s">
        <v>604</v>
      </c>
      <c r="D217" s="97"/>
      <c r="E217" s="73" t="s">
        <v>599</v>
      </c>
      <c r="F217" s="73" t="s">
        <v>774</v>
      </c>
      <c r="G217" s="74" t="s">
        <v>775</v>
      </c>
      <c r="H217" s="73" t="s">
        <v>776</v>
      </c>
      <c r="I217" s="73" t="s">
        <v>532</v>
      </c>
    </row>
    <row r="218" ht="36.0" customHeight="1">
      <c r="A218" s="27" t="s">
        <v>777</v>
      </c>
      <c r="B218" s="27" t="s">
        <v>778</v>
      </c>
      <c r="C218" s="73" t="s">
        <v>160</v>
      </c>
      <c r="D218" s="97"/>
      <c r="E218" s="73" t="s">
        <v>751</v>
      </c>
      <c r="F218" s="73" t="s">
        <v>779</v>
      </c>
      <c r="G218" s="74" t="s">
        <v>780</v>
      </c>
      <c r="H218" s="73" t="s">
        <v>781</v>
      </c>
      <c r="I218" s="73" t="s">
        <v>782</v>
      </c>
    </row>
    <row r="219" ht="36.0" customHeight="1">
      <c r="A219" s="27" t="s">
        <v>783</v>
      </c>
      <c r="B219" s="27" t="s">
        <v>784</v>
      </c>
      <c r="C219" s="73" t="s">
        <v>604</v>
      </c>
      <c r="D219" s="97"/>
      <c r="E219" s="73" t="s">
        <v>785</v>
      </c>
      <c r="F219" s="73" t="s">
        <v>786</v>
      </c>
      <c r="G219" s="74" t="s">
        <v>787</v>
      </c>
      <c r="H219" s="73" t="s">
        <v>788</v>
      </c>
      <c r="I219" s="73" t="s">
        <v>532</v>
      </c>
    </row>
    <row r="220" ht="36.0" customHeight="1">
      <c r="A220" s="27" t="s">
        <v>789</v>
      </c>
      <c r="B220" s="27" t="s">
        <v>790</v>
      </c>
      <c r="C220" s="73" t="s">
        <v>604</v>
      </c>
      <c r="D220" s="97"/>
      <c r="E220" s="73" t="s">
        <v>791</v>
      </c>
      <c r="F220" s="73" t="s">
        <v>786</v>
      </c>
      <c r="G220" s="74" t="s">
        <v>787</v>
      </c>
      <c r="H220" s="73" t="s">
        <v>788</v>
      </c>
      <c r="I220" s="73" t="s">
        <v>532</v>
      </c>
    </row>
    <row r="221" ht="36.0" customHeight="1">
      <c r="A221" s="27" t="s">
        <v>792</v>
      </c>
      <c r="B221" s="27" t="s">
        <v>793</v>
      </c>
      <c r="C221" s="73" t="s">
        <v>182</v>
      </c>
      <c r="D221" s="97"/>
      <c r="E221" s="73" t="s">
        <v>795</v>
      </c>
      <c r="F221" s="73" t="s">
        <v>561</v>
      </c>
      <c r="G221" s="74" t="s">
        <v>796</v>
      </c>
      <c r="H221" s="73" t="s">
        <v>781</v>
      </c>
      <c r="I221" s="73" t="s">
        <v>532</v>
      </c>
    </row>
    <row r="222" ht="36.0" customHeight="1">
      <c r="A222" s="18" t="str">
        <f>IF($C$28="","Policies, Procedures, and Processes",IF($C$28="Yes","Pol/Pro/Proc - Optional based on QUALIFIER response.","Policies, Procedures, and Processes"))</f>
        <v>Policies, Procedures, and Processes</v>
      </c>
      <c r="B222" s="3"/>
      <c r="C222" s="65" t="str">
        <f>$C$20</f>
        <v>CIS Critical Security Controls v6.1</v>
      </c>
      <c r="D222" s="65" t="str">
        <f>$D$20</f>
        <v>HIPAA</v>
      </c>
      <c r="E222" s="65" t="str">
        <f>$E$20</f>
        <v>ISO 27002:2013</v>
      </c>
      <c r="F222" s="65" t="str">
        <f>$F$20</f>
        <v>NIST Cybersecurity Framework</v>
      </c>
      <c r="G222" s="20" t="str">
        <f>$G$20</f>
        <v>NIST SP 800-171r1</v>
      </c>
      <c r="H222" s="65" t="str">
        <f>$H$20</f>
        <v>NIST SP 800-53r4</v>
      </c>
      <c r="I222" s="20" t="s">
        <v>157</v>
      </c>
    </row>
    <row r="223" ht="72.0" customHeight="1">
      <c r="A223" s="27" t="s">
        <v>797</v>
      </c>
      <c r="B223" s="27" t="s">
        <v>798</v>
      </c>
      <c r="C223" s="75"/>
      <c r="D223" s="75"/>
      <c r="E223" s="73" t="s">
        <v>799</v>
      </c>
      <c r="F223" s="73" t="s">
        <v>800</v>
      </c>
      <c r="G223" s="74" t="s">
        <v>801</v>
      </c>
      <c r="H223" s="73" t="s">
        <v>802</v>
      </c>
      <c r="I223" s="73" t="s">
        <v>803</v>
      </c>
    </row>
    <row r="224" ht="36.0" customHeight="1">
      <c r="A224" s="27" t="s">
        <v>804</v>
      </c>
      <c r="B224" s="27" t="s">
        <v>805</v>
      </c>
      <c r="C224" s="73" t="s">
        <v>806</v>
      </c>
      <c r="D224" s="75"/>
      <c r="E224" s="73" t="s">
        <v>461</v>
      </c>
      <c r="F224" s="73" t="s">
        <v>807</v>
      </c>
      <c r="G224" s="77"/>
      <c r="H224" s="73" t="s">
        <v>808</v>
      </c>
      <c r="I224" s="73" t="s">
        <v>809</v>
      </c>
    </row>
    <row r="225" ht="36.0" customHeight="1">
      <c r="A225" s="27" t="s">
        <v>810</v>
      </c>
      <c r="B225" s="27" t="s">
        <v>811</v>
      </c>
      <c r="C225" s="73" t="s">
        <v>160</v>
      </c>
      <c r="D225" s="75"/>
      <c r="E225" s="73" t="s">
        <v>812</v>
      </c>
      <c r="F225" s="75"/>
      <c r="G225" s="77"/>
      <c r="H225" s="73" t="s">
        <v>808</v>
      </c>
      <c r="I225" s="73"/>
    </row>
    <row r="226" ht="48.0" customHeight="1">
      <c r="A226" s="27" t="s">
        <v>813</v>
      </c>
      <c r="B226" s="27" t="s">
        <v>814</v>
      </c>
      <c r="C226" s="73" t="s">
        <v>815</v>
      </c>
      <c r="D226" s="75"/>
      <c r="E226" s="73" t="s">
        <v>206</v>
      </c>
      <c r="F226" s="75"/>
      <c r="G226" s="77"/>
      <c r="H226" s="73" t="s">
        <v>808</v>
      </c>
      <c r="I226" s="73" t="s">
        <v>816</v>
      </c>
    </row>
    <row r="227" ht="48.0" customHeight="1">
      <c r="A227" s="27" t="s">
        <v>817</v>
      </c>
      <c r="B227" s="27" t="s">
        <v>818</v>
      </c>
      <c r="C227" s="73" t="s">
        <v>806</v>
      </c>
      <c r="D227" s="75"/>
      <c r="E227" s="73" t="s">
        <v>206</v>
      </c>
      <c r="F227" s="75"/>
      <c r="G227" s="77"/>
      <c r="H227" s="73" t="s">
        <v>808</v>
      </c>
      <c r="I227" s="73">
        <v>6.3</v>
      </c>
    </row>
    <row r="228" ht="48.0" customHeight="1">
      <c r="A228" s="27" t="s">
        <v>819</v>
      </c>
      <c r="B228" s="27" t="s">
        <v>820</v>
      </c>
      <c r="C228" s="73" t="s">
        <v>806</v>
      </c>
      <c r="D228" s="75"/>
      <c r="E228" s="73" t="s">
        <v>821</v>
      </c>
      <c r="F228" s="73" t="s">
        <v>822</v>
      </c>
      <c r="G228" s="77"/>
      <c r="H228" s="73" t="s">
        <v>808</v>
      </c>
      <c r="I228" s="73" t="s">
        <v>823</v>
      </c>
    </row>
    <row r="229" ht="84.0" customHeight="1">
      <c r="A229" s="27" t="s">
        <v>824</v>
      </c>
      <c r="B229" s="27" t="s">
        <v>825</v>
      </c>
      <c r="C229" s="73" t="s">
        <v>806</v>
      </c>
      <c r="D229" s="75"/>
      <c r="E229" s="73" t="s">
        <v>826</v>
      </c>
      <c r="F229" s="73" t="s">
        <v>827</v>
      </c>
      <c r="G229" s="74" t="s">
        <v>384</v>
      </c>
      <c r="H229" s="73" t="s">
        <v>808</v>
      </c>
      <c r="I229" s="73" t="s">
        <v>828</v>
      </c>
    </row>
    <row r="230" ht="48.0" customHeight="1">
      <c r="A230" s="27" t="s">
        <v>829</v>
      </c>
      <c r="B230" s="27" t="s">
        <v>830</v>
      </c>
      <c r="C230" s="73" t="s">
        <v>806</v>
      </c>
      <c r="D230" s="75"/>
      <c r="E230" s="73" t="s">
        <v>206</v>
      </c>
      <c r="F230" s="75"/>
      <c r="G230" s="74" t="s">
        <v>831</v>
      </c>
      <c r="H230" s="73" t="s">
        <v>808</v>
      </c>
      <c r="I230" s="73" t="s">
        <v>832</v>
      </c>
    </row>
    <row r="231" ht="36.0" customHeight="1">
      <c r="A231" s="27" t="s">
        <v>833</v>
      </c>
      <c r="B231" s="27" t="s">
        <v>834</v>
      </c>
      <c r="C231" s="73" t="s">
        <v>806</v>
      </c>
      <c r="D231" s="75"/>
      <c r="E231" s="73" t="s">
        <v>206</v>
      </c>
      <c r="F231" s="73" t="s">
        <v>835</v>
      </c>
      <c r="G231" s="77"/>
      <c r="H231" s="73" t="s">
        <v>836</v>
      </c>
      <c r="I231" s="73" t="s">
        <v>823</v>
      </c>
    </row>
    <row r="232" ht="36.0" customHeight="1">
      <c r="A232" s="27" t="s">
        <v>838</v>
      </c>
      <c r="B232" s="27" t="s">
        <v>839</v>
      </c>
      <c r="C232" s="73" t="s">
        <v>703</v>
      </c>
      <c r="D232" s="75"/>
      <c r="E232" s="73" t="s">
        <v>840</v>
      </c>
      <c r="F232" s="73" t="s">
        <v>176</v>
      </c>
      <c r="G232" s="74" t="s">
        <v>841</v>
      </c>
      <c r="H232" s="73" t="s">
        <v>842</v>
      </c>
      <c r="I232" s="73" t="s">
        <v>843</v>
      </c>
    </row>
    <row r="233" ht="36.0" customHeight="1">
      <c r="A233" s="27" t="s">
        <v>844</v>
      </c>
      <c r="B233" s="27" t="s">
        <v>845</v>
      </c>
      <c r="C233" s="73" t="s">
        <v>703</v>
      </c>
      <c r="D233" s="75"/>
      <c r="E233" s="73" t="s">
        <v>164</v>
      </c>
      <c r="F233" s="73" t="s">
        <v>165</v>
      </c>
      <c r="G233" s="74" t="s">
        <v>846</v>
      </c>
      <c r="H233" s="73" t="s">
        <v>847</v>
      </c>
      <c r="I233" s="73">
        <v>12.8</v>
      </c>
    </row>
    <row r="234" ht="48.0" customHeight="1">
      <c r="A234" s="27" t="s">
        <v>848</v>
      </c>
      <c r="B234" s="27" t="s">
        <v>849</v>
      </c>
      <c r="C234" s="73" t="s">
        <v>160</v>
      </c>
      <c r="D234" s="75"/>
      <c r="E234" s="73" t="s">
        <v>164</v>
      </c>
      <c r="F234" s="75"/>
      <c r="G234" s="74" t="s">
        <v>685</v>
      </c>
      <c r="H234" s="73" t="s">
        <v>850</v>
      </c>
      <c r="I234" s="73">
        <v>12.8</v>
      </c>
    </row>
    <row r="235" ht="36.0" customHeight="1">
      <c r="A235" s="27" t="s">
        <v>851</v>
      </c>
      <c r="B235" s="27" t="s">
        <v>852</v>
      </c>
      <c r="C235" s="73" t="s">
        <v>703</v>
      </c>
      <c r="D235" s="75"/>
      <c r="E235" s="73" t="s">
        <v>164</v>
      </c>
      <c r="F235" s="73" t="s">
        <v>165</v>
      </c>
      <c r="G235" s="77"/>
      <c r="H235" s="73" t="s">
        <v>808</v>
      </c>
      <c r="I235" s="73"/>
    </row>
    <row r="236" ht="48.0" customHeight="1">
      <c r="A236" s="27" t="s">
        <v>853</v>
      </c>
      <c r="B236" s="27" t="s">
        <v>854</v>
      </c>
      <c r="C236" s="73" t="s">
        <v>299</v>
      </c>
      <c r="D236" s="75"/>
      <c r="E236" s="73" t="s">
        <v>855</v>
      </c>
      <c r="F236" s="73" t="s">
        <v>856</v>
      </c>
      <c r="G236" s="74" t="s">
        <v>857</v>
      </c>
      <c r="H236" s="73" t="s">
        <v>858</v>
      </c>
      <c r="I236" s="73">
        <v>12.7</v>
      </c>
    </row>
    <row r="237" ht="36.0" customHeight="1">
      <c r="A237" s="27" t="s">
        <v>859</v>
      </c>
      <c r="B237" s="27" t="s">
        <v>860</v>
      </c>
      <c r="C237" s="73" t="s">
        <v>861</v>
      </c>
      <c r="D237" s="75"/>
      <c r="E237" s="73" t="s">
        <v>862</v>
      </c>
      <c r="F237" s="73" t="s">
        <v>856</v>
      </c>
      <c r="G237" s="77"/>
      <c r="H237" s="73" t="s">
        <v>808</v>
      </c>
      <c r="I237" s="73" t="s">
        <v>863</v>
      </c>
    </row>
    <row r="238" ht="48.0" customHeight="1">
      <c r="A238" s="27" t="s">
        <v>864</v>
      </c>
      <c r="B238" s="27" t="s">
        <v>865</v>
      </c>
      <c r="C238" s="73" t="s">
        <v>861</v>
      </c>
      <c r="D238" s="73" t="s">
        <v>194</v>
      </c>
      <c r="E238" s="73" t="s">
        <v>799</v>
      </c>
      <c r="F238" s="73" t="s">
        <v>165</v>
      </c>
      <c r="G238" s="77"/>
      <c r="H238" s="73" t="s">
        <v>808</v>
      </c>
      <c r="I238" s="73" t="s">
        <v>866</v>
      </c>
    </row>
    <row r="239" ht="48.0" customHeight="1">
      <c r="A239" s="27" t="s">
        <v>867</v>
      </c>
      <c r="B239" s="27" t="s">
        <v>868</v>
      </c>
      <c r="C239" s="73" t="s">
        <v>861</v>
      </c>
      <c r="D239" s="73" t="s">
        <v>869</v>
      </c>
      <c r="E239" s="73" t="s">
        <v>870</v>
      </c>
      <c r="F239" s="73" t="s">
        <v>871</v>
      </c>
      <c r="G239" s="74" t="s">
        <v>872</v>
      </c>
      <c r="H239" s="73" t="s">
        <v>873</v>
      </c>
      <c r="I239" s="73">
        <v>12.6</v>
      </c>
    </row>
    <row r="240" ht="48.0" customHeight="1">
      <c r="A240" s="27" t="s">
        <v>874</v>
      </c>
      <c r="B240" s="27" t="s">
        <v>875</v>
      </c>
      <c r="C240" s="73" t="s">
        <v>861</v>
      </c>
      <c r="D240" s="73" t="s">
        <v>869</v>
      </c>
      <c r="E240" s="73" t="s">
        <v>870</v>
      </c>
      <c r="F240" s="73" t="s">
        <v>871</v>
      </c>
      <c r="G240" s="74" t="s">
        <v>876</v>
      </c>
      <c r="H240" s="73" t="s">
        <v>877</v>
      </c>
      <c r="I240" s="73">
        <v>12.6</v>
      </c>
    </row>
    <row r="241" ht="48.0" customHeight="1">
      <c r="A241" s="27" t="s">
        <v>878</v>
      </c>
      <c r="B241" s="27" t="s">
        <v>879</v>
      </c>
      <c r="C241" s="73" t="s">
        <v>861</v>
      </c>
      <c r="D241" s="75"/>
      <c r="E241" s="73" t="s">
        <v>880</v>
      </c>
      <c r="F241" s="73" t="s">
        <v>269</v>
      </c>
      <c r="G241" s="74" t="s">
        <v>881</v>
      </c>
      <c r="H241" s="73" t="s">
        <v>808</v>
      </c>
      <c r="I241" s="73" t="s">
        <v>882</v>
      </c>
    </row>
    <row r="242" ht="69.75" customHeight="1">
      <c r="A242" s="27" t="s">
        <v>883</v>
      </c>
      <c r="B242" s="27" t="s">
        <v>884</v>
      </c>
      <c r="C242" s="75"/>
      <c r="D242" s="75"/>
      <c r="E242" s="73" t="s">
        <v>885</v>
      </c>
      <c r="F242" s="75"/>
      <c r="G242" s="77"/>
      <c r="H242" s="73" t="s">
        <v>886</v>
      </c>
      <c r="I242" s="77"/>
    </row>
    <row r="243" ht="36.0" customHeight="1">
      <c r="A243" s="18" t="str">
        <f>IF($C$28="","Product Evaluation",IF($C$28="Yes","Product Evaluation - Optional based on QUALIFIER response.","Product Evaluation"))</f>
        <v>Product Evaluation</v>
      </c>
      <c r="B243" s="3"/>
      <c r="C243" s="65" t="str">
        <f>$C$20</f>
        <v>CIS Critical Security Controls v6.1</v>
      </c>
      <c r="D243" s="65" t="str">
        <f>$D$20</f>
        <v>HIPAA</v>
      </c>
      <c r="E243" s="65" t="str">
        <f>$E$20</f>
        <v>ISO 27002:2013</v>
      </c>
      <c r="F243" s="65" t="str">
        <f>$F$20</f>
        <v>NIST Cybersecurity Framework</v>
      </c>
      <c r="G243" s="20" t="str">
        <f>$G$20</f>
        <v>NIST SP 800-171r1</v>
      </c>
      <c r="H243" s="65" t="str">
        <f>$H$20</f>
        <v>NIST SP 800-53r4</v>
      </c>
      <c r="I243" s="20" t="s">
        <v>157</v>
      </c>
    </row>
    <row r="244" ht="48.0" customHeight="1">
      <c r="A244" s="27" t="s">
        <v>888</v>
      </c>
      <c r="B244" s="27" t="s">
        <v>889</v>
      </c>
      <c r="C244" s="75"/>
      <c r="D244" s="93"/>
      <c r="E244" s="93"/>
      <c r="F244" s="75"/>
      <c r="G244" s="77"/>
      <c r="H244" s="93"/>
      <c r="I244" s="93"/>
    </row>
    <row r="245" ht="36.0" customHeight="1">
      <c r="A245" s="27" t="s">
        <v>890</v>
      </c>
      <c r="B245" s="27" t="s">
        <v>891</v>
      </c>
      <c r="C245" s="75"/>
      <c r="D245" s="93"/>
      <c r="E245" s="93"/>
      <c r="F245" s="73" t="s">
        <v>827</v>
      </c>
      <c r="G245" s="77"/>
      <c r="H245" s="93"/>
      <c r="I245" s="93"/>
    </row>
    <row r="246" ht="36.0" customHeight="1">
      <c r="A246" s="18" t="str">
        <f>IF($C$28="","Quality Assurance",IF($C$28="Yes","Quality Assurance - Optional based on QUALIFIER response.","Quality Assurance"))</f>
        <v>Quality Assurance</v>
      </c>
      <c r="B246" s="3"/>
      <c r="C246" s="65" t="str">
        <f>$C$20</f>
        <v>CIS Critical Security Controls v6.1</v>
      </c>
      <c r="D246" s="65" t="str">
        <f>$D$20</f>
        <v>HIPAA</v>
      </c>
      <c r="E246" s="65" t="str">
        <f>$E$20</f>
        <v>ISO 27002:2013</v>
      </c>
      <c r="F246" s="65" t="str">
        <f>$F$20</f>
        <v>NIST Cybersecurity Framework</v>
      </c>
      <c r="G246" s="20" t="str">
        <f>$G$20</f>
        <v>NIST SP 800-171r1</v>
      </c>
      <c r="H246" s="65" t="str">
        <f>$H$20</f>
        <v>NIST SP 800-53r4</v>
      </c>
      <c r="I246" s="20" t="s">
        <v>157</v>
      </c>
    </row>
    <row r="247" ht="48.0" customHeight="1">
      <c r="A247" s="27" t="s">
        <v>894</v>
      </c>
      <c r="B247" s="27" t="s">
        <v>895</v>
      </c>
      <c r="C247" s="73" t="s">
        <v>160</v>
      </c>
      <c r="D247" s="93"/>
      <c r="E247" s="93"/>
      <c r="F247" s="93"/>
      <c r="G247" s="101"/>
      <c r="H247" s="93"/>
      <c r="I247" s="93"/>
    </row>
    <row r="248" ht="36.0" customHeight="1">
      <c r="A248" s="27" t="s">
        <v>896</v>
      </c>
      <c r="B248" s="27" t="s">
        <v>897</v>
      </c>
      <c r="C248" s="73" t="s">
        <v>160</v>
      </c>
      <c r="D248" s="93"/>
      <c r="E248" s="73" t="s">
        <v>164</v>
      </c>
      <c r="F248" s="75"/>
      <c r="G248" s="77"/>
      <c r="H248" s="93"/>
      <c r="I248" s="93"/>
    </row>
    <row r="249" ht="52.5" customHeight="1">
      <c r="A249" s="27" t="s">
        <v>898</v>
      </c>
      <c r="B249" s="27" t="s">
        <v>899</v>
      </c>
      <c r="C249" s="73" t="s">
        <v>160</v>
      </c>
      <c r="D249" s="93"/>
      <c r="E249" s="93"/>
      <c r="F249" s="75"/>
      <c r="G249" s="77"/>
      <c r="H249" s="93"/>
      <c r="I249" s="93"/>
    </row>
    <row r="250" ht="52.5" customHeight="1">
      <c r="A250" s="27" t="s">
        <v>900</v>
      </c>
      <c r="B250" s="27" t="s">
        <v>901</v>
      </c>
      <c r="C250" s="75"/>
      <c r="D250" s="93"/>
      <c r="E250" s="93"/>
      <c r="F250" s="75"/>
      <c r="G250" s="77"/>
      <c r="H250" s="93"/>
      <c r="I250" s="93"/>
    </row>
    <row r="251" ht="48.0" customHeight="1">
      <c r="A251" s="27" t="s">
        <v>902</v>
      </c>
      <c r="B251" s="27" t="s">
        <v>903</v>
      </c>
      <c r="C251" s="73" t="s">
        <v>861</v>
      </c>
      <c r="D251" s="93"/>
      <c r="E251" s="93"/>
      <c r="F251" s="75"/>
      <c r="G251" s="77"/>
      <c r="H251" s="93"/>
      <c r="I251" s="93"/>
    </row>
    <row r="252" ht="36.0" customHeight="1">
      <c r="A252" s="18" t="str">
        <f>IF($C$28="","Systems Management &amp; Configuration",IF($C$28="Yes","System Mgmt/Config - Optional based on QUALIFIER response.","Systems Management &amp; Configuration"))</f>
        <v>Systems Management &amp; Configuration</v>
      </c>
      <c r="B252" s="3"/>
      <c r="C252" s="65" t="str">
        <f>$C$20</f>
        <v>CIS Critical Security Controls v6.1</v>
      </c>
      <c r="D252" s="65" t="str">
        <f>$D$20</f>
        <v>HIPAA</v>
      </c>
      <c r="E252" s="65" t="str">
        <f>$E$20</f>
        <v>ISO 27002:2013</v>
      </c>
      <c r="F252" s="65" t="str">
        <f>$F$20</f>
        <v>NIST Cybersecurity Framework</v>
      </c>
      <c r="G252" s="20" t="str">
        <f>$G$20</f>
        <v>NIST SP 800-171r1</v>
      </c>
      <c r="H252" s="65" t="str">
        <f>$H$20</f>
        <v>NIST SP 800-53r4</v>
      </c>
      <c r="I252" s="20" t="s">
        <v>157</v>
      </c>
    </row>
    <row r="253" ht="48.75" customHeight="1">
      <c r="A253" s="27" t="s">
        <v>908</v>
      </c>
      <c r="B253" s="27" t="s">
        <v>909</v>
      </c>
      <c r="C253" s="73" t="s">
        <v>274</v>
      </c>
      <c r="D253" s="75"/>
      <c r="E253" s="73" t="s">
        <v>692</v>
      </c>
      <c r="F253" s="73" t="s">
        <v>910</v>
      </c>
      <c r="G253" s="74" t="s">
        <v>620</v>
      </c>
      <c r="H253" s="73" t="s">
        <v>227</v>
      </c>
      <c r="I253" s="93"/>
    </row>
    <row r="254" ht="48.0" customHeight="1">
      <c r="A254" s="27" t="s">
        <v>911</v>
      </c>
      <c r="B254" s="27" t="s">
        <v>912</v>
      </c>
      <c r="C254" s="73" t="s">
        <v>604</v>
      </c>
      <c r="D254" s="75"/>
      <c r="E254" s="75"/>
      <c r="F254" s="73" t="s">
        <v>913</v>
      </c>
      <c r="G254" s="74" t="s">
        <v>914</v>
      </c>
      <c r="H254" s="73" t="s">
        <v>915</v>
      </c>
      <c r="I254" s="93"/>
    </row>
    <row r="255" ht="48.0" customHeight="1">
      <c r="A255" s="27" t="s">
        <v>916</v>
      </c>
      <c r="B255" s="27" t="s">
        <v>917</v>
      </c>
      <c r="C255" s="73" t="s">
        <v>604</v>
      </c>
      <c r="D255" s="75"/>
      <c r="E255" s="73" t="s">
        <v>918</v>
      </c>
      <c r="F255" s="75"/>
      <c r="G255" s="74" t="s">
        <v>919</v>
      </c>
      <c r="H255" s="75"/>
      <c r="I255" s="93"/>
    </row>
    <row r="256" ht="63.75" customHeight="1">
      <c r="A256" s="27" t="s">
        <v>920</v>
      </c>
      <c r="B256" s="27" t="s">
        <v>921</v>
      </c>
      <c r="C256" s="73" t="s">
        <v>604</v>
      </c>
      <c r="D256" s="75"/>
      <c r="E256" s="73" t="s">
        <v>287</v>
      </c>
      <c r="F256" s="73" t="s">
        <v>922</v>
      </c>
      <c r="G256" s="74" t="s">
        <v>923</v>
      </c>
      <c r="H256" s="73" t="s">
        <v>924</v>
      </c>
      <c r="I256" s="93"/>
    </row>
    <row r="257" ht="36.0" customHeight="1">
      <c r="A257" s="18" t="str">
        <f>IF($C$28="","Vulnerability Scanning",IF($C$28="Yes","Vulnerability Scanning - Optional based on QUALIFIER response.","Vulnerability Scanning"))</f>
        <v>Vulnerability Scanning</v>
      </c>
      <c r="B257" s="3"/>
      <c r="C257" s="65" t="str">
        <f>$C$20</f>
        <v>CIS Critical Security Controls v6.1</v>
      </c>
      <c r="D257" s="65" t="str">
        <f>$D$20</f>
        <v>HIPAA</v>
      </c>
      <c r="E257" s="65" t="str">
        <f>$E$20</f>
        <v>ISO 27002:2013</v>
      </c>
      <c r="F257" s="65" t="str">
        <f>$F$20</f>
        <v>NIST Cybersecurity Framework</v>
      </c>
      <c r="G257" s="20" t="str">
        <f>$G$20</f>
        <v>NIST SP 800-171r1</v>
      </c>
      <c r="H257" s="65" t="str">
        <f>$H$20</f>
        <v>NIST SP 800-53r4</v>
      </c>
      <c r="I257" s="20" t="s">
        <v>157</v>
      </c>
    </row>
    <row r="258" ht="36.0" customHeight="1">
      <c r="A258" s="27" t="s">
        <v>927</v>
      </c>
      <c r="B258" s="27" t="s">
        <v>928</v>
      </c>
      <c r="C258" s="73" t="s">
        <v>806</v>
      </c>
      <c r="D258" s="93"/>
      <c r="E258" s="73" t="s">
        <v>461</v>
      </c>
      <c r="F258" s="73" t="s">
        <v>929</v>
      </c>
      <c r="G258" s="74" t="s">
        <v>930</v>
      </c>
      <c r="H258" s="73" t="s">
        <v>931</v>
      </c>
      <c r="I258" s="74">
        <v>11.2</v>
      </c>
    </row>
    <row r="259" ht="36.0" customHeight="1">
      <c r="A259" s="27" t="s">
        <v>932</v>
      </c>
      <c r="B259" s="27" t="s">
        <v>933</v>
      </c>
      <c r="C259" s="73" t="s">
        <v>806</v>
      </c>
      <c r="D259" s="93"/>
      <c r="E259" s="73" t="s">
        <v>461</v>
      </c>
      <c r="F259" s="73" t="s">
        <v>929</v>
      </c>
      <c r="G259" s="74" t="s">
        <v>930</v>
      </c>
      <c r="H259" s="73" t="s">
        <v>931</v>
      </c>
      <c r="I259" s="74">
        <v>11.2</v>
      </c>
    </row>
    <row r="260" ht="64.5" customHeight="1">
      <c r="A260" s="27" t="s">
        <v>934</v>
      </c>
      <c r="B260" s="27" t="s">
        <v>935</v>
      </c>
      <c r="C260" s="73" t="s">
        <v>806</v>
      </c>
      <c r="D260" s="93"/>
      <c r="E260" s="75"/>
      <c r="F260" s="73" t="s">
        <v>929</v>
      </c>
      <c r="G260" s="74" t="s">
        <v>930</v>
      </c>
      <c r="H260" s="73" t="s">
        <v>931</v>
      </c>
      <c r="I260" s="74">
        <v>11.2</v>
      </c>
    </row>
    <row r="261" ht="48.75" customHeight="1">
      <c r="A261" s="27" t="s">
        <v>936</v>
      </c>
      <c r="B261" s="27" t="s">
        <v>937</v>
      </c>
      <c r="C261" s="73" t="s">
        <v>806</v>
      </c>
      <c r="D261" s="93"/>
      <c r="E261" s="75"/>
      <c r="F261" s="73" t="s">
        <v>929</v>
      </c>
      <c r="G261" s="74" t="s">
        <v>930</v>
      </c>
      <c r="H261" s="73" t="s">
        <v>931</v>
      </c>
      <c r="I261" s="74">
        <v>11.2</v>
      </c>
    </row>
    <row r="262" ht="36.0" customHeight="1">
      <c r="A262" s="27" t="s">
        <v>938</v>
      </c>
      <c r="B262" s="27" t="s">
        <v>939</v>
      </c>
      <c r="C262" s="73" t="s">
        <v>806</v>
      </c>
      <c r="D262" s="93"/>
      <c r="E262" s="75"/>
      <c r="F262" s="73" t="s">
        <v>929</v>
      </c>
      <c r="G262" s="77"/>
      <c r="H262" s="73" t="s">
        <v>931</v>
      </c>
      <c r="I262" s="74">
        <v>11.2</v>
      </c>
    </row>
    <row r="263" ht="64.5" customHeight="1">
      <c r="A263" s="27" t="s">
        <v>940</v>
      </c>
      <c r="B263" s="27" t="s">
        <v>941</v>
      </c>
      <c r="C263" s="73" t="s">
        <v>806</v>
      </c>
      <c r="D263" s="93"/>
      <c r="E263" s="75"/>
      <c r="F263" s="73" t="s">
        <v>929</v>
      </c>
      <c r="G263" s="74" t="s">
        <v>930</v>
      </c>
      <c r="H263" s="73" t="s">
        <v>931</v>
      </c>
      <c r="I263" s="74">
        <v>11.2</v>
      </c>
    </row>
    <row r="264" ht="36.0" customHeight="1">
      <c r="A264" s="27" t="s">
        <v>942</v>
      </c>
      <c r="B264" s="27" t="s">
        <v>943</v>
      </c>
      <c r="C264" s="73" t="s">
        <v>806</v>
      </c>
      <c r="D264" s="93"/>
      <c r="E264" s="75"/>
      <c r="F264" s="73" t="s">
        <v>929</v>
      </c>
      <c r="G264" s="77"/>
      <c r="H264" s="73" t="s">
        <v>931</v>
      </c>
      <c r="I264" s="74">
        <v>11.2</v>
      </c>
    </row>
    <row r="265" ht="64.5" customHeight="1">
      <c r="A265" s="27" t="s">
        <v>944</v>
      </c>
      <c r="B265" s="27" t="s">
        <v>945</v>
      </c>
      <c r="C265" s="73" t="s">
        <v>946</v>
      </c>
      <c r="D265" s="93"/>
      <c r="E265" s="73" t="s">
        <v>461</v>
      </c>
      <c r="F265" s="73" t="s">
        <v>947</v>
      </c>
      <c r="G265" s="74" t="s">
        <v>948</v>
      </c>
      <c r="H265" s="73" t="s">
        <v>931</v>
      </c>
      <c r="I265" s="74" t="s">
        <v>949</v>
      </c>
    </row>
    <row r="266" ht="54.0" customHeight="1">
      <c r="A266" s="27" t="s">
        <v>950</v>
      </c>
      <c r="B266" s="27" t="s">
        <v>951</v>
      </c>
      <c r="C266" s="73" t="s">
        <v>952</v>
      </c>
      <c r="D266" s="93"/>
      <c r="E266" s="73" t="s">
        <v>953</v>
      </c>
      <c r="F266" s="73" t="s">
        <v>929</v>
      </c>
      <c r="G266" s="74" t="s">
        <v>930</v>
      </c>
      <c r="H266" s="73" t="s">
        <v>931</v>
      </c>
      <c r="I266" s="74" t="s">
        <v>954</v>
      </c>
    </row>
    <row r="267" ht="36.0" customHeight="1">
      <c r="A267" s="18" t="str">
        <f>IF(OR($C$22="No",$C$28="Yes"),"HIPAA - Optional based on QUALIFIER response.","HIPAA")</f>
        <v>HIPAA</v>
      </c>
      <c r="B267" s="3"/>
      <c r="C267" s="65" t="str">
        <f>$C$20</f>
        <v>CIS Critical Security Controls v6.1</v>
      </c>
      <c r="D267" s="65" t="str">
        <f>$D$20</f>
        <v>HIPAA</v>
      </c>
      <c r="E267" s="65" t="str">
        <f>$E$20</f>
        <v>ISO 27002:2013</v>
      </c>
      <c r="F267" s="65" t="str">
        <f>$F$20</f>
        <v>NIST Cybersecurity Framework</v>
      </c>
      <c r="G267" s="20" t="str">
        <f>$G$20</f>
        <v>NIST SP 800-171r1</v>
      </c>
      <c r="H267" s="65" t="str">
        <f>$H$20</f>
        <v>NIST SP 800-53r4</v>
      </c>
      <c r="I267" s="20" t="s">
        <v>157</v>
      </c>
    </row>
    <row r="268" ht="64.5" customHeight="1">
      <c r="A268" s="27" t="s">
        <v>955</v>
      </c>
      <c r="B268" s="27" t="s">
        <v>956</v>
      </c>
      <c r="C268" s="73" t="s">
        <v>861</v>
      </c>
      <c r="D268" s="73" t="s">
        <v>869</v>
      </c>
      <c r="E268" s="73" t="s">
        <v>957</v>
      </c>
      <c r="F268" s="73" t="s">
        <v>165</v>
      </c>
      <c r="G268" s="74" t="s">
        <v>958</v>
      </c>
      <c r="H268" s="73" t="s">
        <v>959</v>
      </c>
      <c r="I268" s="75"/>
    </row>
    <row r="269" ht="48.0" customHeight="1">
      <c r="A269" s="27" t="s">
        <v>960</v>
      </c>
      <c r="B269" s="27" t="s">
        <v>961</v>
      </c>
      <c r="C269" s="73" t="s">
        <v>160</v>
      </c>
      <c r="D269" s="73" t="s">
        <v>962</v>
      </c>
      <c r="E269" s="73" t="s">
        <v>164</v>
      </c>
      <c r="F269" s="73" t="s">
        <v>165</v>
      </c>
      <c r="G269" s="77"/>
      <c r="H269" s="75"/>
      <c r="I269" s="75"/>
    </row>
    <row r="270" ht="48.0" customHeight="1">
      <c r="A270" s="27" t="s">
        <v>963</v>
      </c>
      <c r="B270" s="27" t="s">
        <v>964</v>
      </c>
      <c r="C270" s="73" t="s">
        <v>861</v>
      </c>
      <c r="D270" s="73" t="s">
        <v>965</v>
      </c>
      <c r="E270" s="73" t="s">
        <v>164</v>
      </c>
      <c r="F270" s="73" t="s">
        <v>165</v>
      </c>
      <c r="G270" s="77"/>
      <c r="H270" s="75"/>
      <c r="I270" s="75"/>
    </row>
    <row r="271" ht="48.0" customHeight="1">
      <c r="A271" s="27" t="s">
        <v>966</v>
      </c>
      <c r="B271" s="27" t="s">
        <v>967</v>
      </c>
      <c r="C271" s="73" t="s">
        <v>160</v>
      </c>
      <c r="D271" s="75"/>
      <c r="E271" s="73" t="s">
        <v>164</v>
      </c>
      <c r="F271" s="73" t="s">
        <v>165</v>
      </c>
      <c r="G271" s="77"/>
      <c r="H271" s="75"/>
      <c r="I271" s="75"/>
    </row>
    <row r="272" ht="48.0" customHeight="1">
      <c r="A272" s="27" t="s">
        <v>968</v>
      </c>
      <c r="B272" s="27" t="s">
        <v>969</v>
      </c>
      <c r="C272" s="73" t="s">
        <v>703</v>
      </c>
      <c r="D272" s="73" t="s">
        <v>970</v>
      </c>
      <c r="E272" s="73" t="s">
        <v>971</v>
      </c>
      <c r="F272" s="73" t="s">
        <v>165</v>
      </c>
      <c r="G272" s="74" t="s">
        <v>972</v>
      </c>
      <c r="H272" s="73" t="s">
        <v>973</v>
      </c>
      <c r="I272" s="73" t="s">
        <v>974</v>
      </c>
    </row>
    <row r="273" ht="48.0" customHeight="1">
      <c r="A273" s="27" t="s">
        <v>975</v>
      </c>
      <c r="B273" s="27" t="s">
        <v>976</v>
      </c>
      <c r="C273" s="73" t="s">
        <v>703</v>
      </c>
      <c r="D273" s="73" t="s">
        <v>977</v>
      </c>
      <c r="E273" s="73" t="s">
        <v>978</v>
      </c>
      <c r="F273" s="73" t="s">
        <v>165</v>
      </c>
      <c r="G273" s="74" t="s">
        <v>979</v>
      </c>
      <c r="H273" s="73" t="s">
        <v>980</v>
      </c>
      <c r="I273" s="73">
        <v>12.8</v>
      </c>
    </row>
    <row r="274" ht="48.0" customHeight="1">
      <c r="A274" s="27" t="s">
        <v>981</v>
      </c>
      <c r="B274" s="27" t="s">
        <v>982</v>
      </c>
      <c r="C274" s="73" t="s">
        <v>160</v>
      </c>
      <c r="D274" s="73" t="s">
        <v>194</v>
      </c>
      <c r="E274" s="75"/>
      <c r="F274" s="73" t="s">
        <v>165</v>
      </c>
      <c r="G274" s="77"/>
      <c r="H274" s="75"/>
      <c r="I274" s="73">
        <v>12.2</v>
      </c>
    </row>
    <row r="275" ht="48.0" customHeight="1">
      <c r="A275" s="27" t="s">
        <v>983</v>
      </c>
      <c r="B275" s="27" t="s">
        <v>984</v>
      </c>
      <c r="C275" s="73" t="s">
        <v>806</v>
      </c>
      <c r="D275" s="73" t="s">
        <v>985</v>
      </c>
      <c r="E275" s="75"/>
      <c r="F275" s="73" t="s">
        <v>165</v>
      </c>
      <c r="G275" s="77"/>
      <c r="H275" s="75"/>
      <c r="I275" s="73">
        <v>12.2</v>
      </c>
    </row>
    <row r="276" ht="48.0" customHeight="1">
      <c r="A276" s="27" t="s">
        <v>986</v>
      </c>
      <c r="B276" s="27" t="s">
        <v>987</v>
      </c>
      <c r="C276" s="73" t="s">
        <v>806</v>
      </c>
      <c r="D276" s="73" t="s">
        <v>465</v>
      </c>
      <c r="E276" s="75"/>
      <c r="F276" s="73" t="s">
        <v>165</v>
      </c>
      <c r="G276" s="77"/>
      <c r="H276" s="75"/>
      <c r="I276" s="73">
        <v>12.2</v>
      </c>
    </row>
    <row r="277" ht="48.0" customHeight="1">
      <c r="A277" s="27" t="s">
        <v>988</v>
      </c>
      <c r="B277" s="27" t="s">
        <v>989</v>
      </c>
      <c r="C277" s="73" t="s">
        <v>318</v>
      </c>
      <c r="D277" s="73" t="s">
        <v>990</v>
      </c>
      <c r="E277" s="73" t="s">
        <v>347</v>
      </c>
      <c r="F277" s="73" t="s">
        <v>165</v>
      </c>
      <c r="G277" s="74" t="s">
        <v>323</v>
      </c>
      <c r="H277" s="73" t="s">
        <v>324</v>
      </c>
      <c r="I277" s="75"/>
    </row>
    <row r="278" ht="48.0" customHeight="1">
      <c r="A278" s="27" t="s">
        <v>991</v>
      </c>
      <c r="B278" s="27" t="s">
        <v>992</v>
      </c>
      <c r="C278" s="73" t="s">
        <v>318</v>
      </c>
      <c r="D278" s="73" t="s">
        <v>990</v>
      </c>
      <c r="E278" s="73" t="s">
        <v>347</v>
      </c>
      <c r="F278" s="73" t="s">
        <v>165</v>
      </c>
      <c r="G278" s="74" t="s">
        <v>994</v>
      </c>
      <c r="H278" s="73" t="s">
        <v>327</v>
      </c>
      <c r="I278" s="75"/>
    </row>
    <row r="279" ht="48.0" customHeight="1">
      <c r="A279" s="27" t="s">
        <v>995</v>
      </c>
      <c r="B279" s="27" t="s">
        <v>996</v>
      </c>
      <c r="C279" s="73" t="s">
        <v>318</v>
      </c>
      <c r="D279" s="73" t="s">
        <v>998</v>
      </c>
      <c r="E279" s="73" t="s">
        <v>347</v>
      </c>
      <c r="F279" s="73" t="s">
        <v>165</v>
      </c>
      <c r="G279" s="74" t="s">
        <v>999</v>
      </c>
      <c r="H279" s="73" t="s">
        <v>1000</v>
      </c>
      <c r="I279" s="75"/>
    </row>
    <row r="280" ht="48.0" customHeight="1">
      <c r="A280" s="27" t="s">
        <v>1001</v>
      </c>
      <c r="B280" s="27" t="s">
        <v>1002</v>
      </c>
      <c r="C280" s="73" t="s">
        <v>318</v>
      </c>
      <c r="D280" s="73" t="s">
        <v>1003</v>
      </c>
      <c r="E280" s="73" t="s">
        <v>347</v>
      </c>
      <c r="F280" s="73" t="s">
        <v>165</v>
      </c>
      <c r="G280" s="74" t="s">
        <v>1005</v>
      </c>
      <c r="H280" s="73" t="s">
        <v>1006</v>
      </c>
      <c r="I280" s="73" t="s">
        <v>325</v>
      </c>
    </row>
    <row r="281" ht="48.0" customHeight="1">
      <c r="A281" s="27" t="s">
        <v>1007</v>
      </c>
      <c r="B281" s="27" t="s">
        <v>1008</v>
      </c>
      <c r="C281" s="73" t="s">
        <v>318</v>
      </c>
      <c r="D281" s="73" t="s">
        <v>1009</v>
      </c>
      <c r="E281" s="73" t="s">
        <v>347</v>
      </c>
      <c r="F281" s="73" t="s">
        <v>165</v>
      </c>
      <c r="G281" s="74" t="s">
        <v>342</v>
      </c>
      <c r="H281" s="73" t="s">
        <v>327</v>
      </c>
      <c r="I281" s="73" t="s">
        <v>325</v>
      </c>
    </row>
    <row r="282" ht="48.0" customHeight="1">
      <c r="A282" s="27" t="s">
        <v>1010</v>
      </c>
      <c r="B282" s="27" t="s">
        <v>1011</v>
      </c>
      <c r="C282" s="73" t="s">
        <v>318</v>
      </c>
      <c r="D282" s="73" t="s">
        <v>1009</v>
      </c>
      <c r="E282" s="75"/>
      <c r="F282" s="73" t="s">
        <v>165</v>
      </c>
      <c r="G282" s="77"/>
      <c r="H282" s="75"/>
      <c r="I282" s="73" t="s">
        <v>325</v>
      </c>
    </row>
    <row r="283" ht="63.75" customHeight="1">
      <c r="A283" s="27" t="s">
        <v>1012</v>
      </c>
      <c r="B283" s="27" t="s">
        <v>1013</v>
      </c>
      <c r="C283" s="73" t="s">
        <v>318</v>
      </c>
      <c r="D283" s="73" t="s">
        <v>1014</v>
      </c>
      <c r="E283" s="75"/>
      <c r="F283" s="73" t="s">
        <v>165</v>
      </c>
      <c r="G283" s="74" t="s">
        <v>229</v>
      </c>
      <c r="H283" s="75"/>
      <c r="I283" s="73" t="s">
        <v>325</v>
      </c>
    </row>
    <row r="284" ht="63.75" customHeight="1">
      <c r="A284" s="27" t="s">
        <v>1015</v>
      </c>
      <c r="B284" s="27" t="s">
        <v>1016</v>
      </c>
      <c r="C284" s="73" t="s">
        <v>1017</v>
      </c>
      <c r="D284" s="73" t="s">
        <v>1018</v>
      </c>
      <c r="E284" s="73" t="s">
        <v>268</v>
      </c>
      <c r="F284" s="73" t="s">
        <v>165</v>
      </c>
      <c r="G284" s="74" t="s">
        <v>1019</v>
      </c>
      <c r="H284" s="75"/>
      <c r="I284" s="73" t="s">
        <v>325</v>
      </c>
    </row>
    <row r="285" ht="63.75" customHeight="1">
      <c r="A285" s="27" t="s">
        <v>1020</v>
      </c>
      <c r="B285" s="27" t="s">
        <v>1021</v>
      </c>
      <c r="C285" s="73" t="s">
        <v>318</v>
      </c>
      <c r="D285" s="73" t="s">
        <v>1022</v>
      </c>
      <c r="E285" s="73" t="s">
        <v>1023</v>
      </c>
      <c r="F285" s="73" t="s">
        <v>165</v>
      </c>
      <c r="G285" s="74" t="s">
        <v>229</v>
      </c>
      <c r="H285" s="75"/>
      <c r="I285" s="73" t="s">
        <v>325</v>
      </c>
    </row>
    <row r="286" ht="46.5" customHeight="1">
      <c r="A286" s="27" t="s">
        <v>1024</v>
      </c>
      <c r="B286" s="27" t="s">
        <v>1025</v>
      </c>
      <c r="C286" s="73" t="s">
        <v>318</v>
      </c>
      <c r="D286" s="73" t="s">
        <v>1026</v>
      </c>
      <c r="E286" s="73" t="s">
        <v>1023</v>
      </c>
      <c r="F286" s="73" t="s">
        <v>165</v>
      </c>
      <c r="G286" s="77"/>
      <c r="H286" s="75"/>
      <c r="I286" s="75"/>
    </row>
    <row r="287" ht="46.5" customHeight="1">
      <c r="A287" s="27" t="s">
        <v>1027</v>
      </c>
      <c r="B287" s="27" t="s">
        <v>1028</v>
      </c>
      <c r="C287" s="73" t="s">
        <v>1029</v>
      </c>
      <c r="D287" s="73" t="s">
        <v>1026</v>
      </c>
      <c r="E287" s="75"/>
      <c r="F287" s="73" t="s">
        <v>165</v>
      </c>
      <c r="G287" s="74" t="s">
        <v>727</v>
      </c>
      <c r="H287" s="73" t="s">
        <v>1030</v>
      </c>
      <c r="I287" s="73" t="s">
        <v>325</v>
      </c>
    </row>
    <row r="288" ht="48.0" customHeight="1">
      <c r="A288" s="27" t="s">
        <v>1031</v>
      </c>
      <c r="B288" s="27" t="s">
        <v>1032</v>
      </c>
      <c r="C288" s="73" t="s">
        <v>361</v>
      </c>
      <c r="D288" s="73" t="s">
        <v>1033</v>
      </c>
      <c r="E288" s="73" t="s">
        <v>716</v>
      </c>
      <c r="F288" s="73" t="s">
        <v>165</v>
      </c>
      <c r="G288" s="74" t="s">
        <v>1034</v>
      </c>
      <c r="H288" s="73" t="s">
        <v>1035</v>
      </c>
      <c r="I288" s="73">
        <v>10.7</v>
      </c>
    </row>
    <row r="289" ht="64.5" customHeight="1">
      <c r="A289" s="27" t="s">
        <v>1036</v>
      </c>
      <c r="B289" s="27" t="s">
        <v>1037</v>
      </c>
      <c r="C289" s="73" t="s">
        <v>361</v>
      </c>
      <c r="D289" s="73" t="s">
        <v>1038</v>
      </c>
      <c r="E289" s="73" t="s">
        <v>716</v>
      </c>
      <c r="F289" s="73" t="s">
        <v>165</v>
      </c>
      <c r="G289" s="77"/>
      <c r="H289" s="75"/>
      <c r="I289" s="73">
        <v>10.7</v>
      </c>
    </row>
    <row r="290" ht="36.0" customHeight="1">
      <c r="A290" s="27" t="s">
        <v>1039</v>
      </c>
      <c r="B290" s="27" t="s">
        <v>1040</v>
      </c>
      <c r="C290" s="73" t="s">
        <v>361</v>
      </c>
      <c r="D290" s="73" t="s">
        <v>1038</v>
      </c>
      <c r="E290" s="73" t="s">
        <v>716</v>
      </c>
      <c r="F290" s="73" t="s">
        <v>165</v>
      </c>
      <c r="G290" s="77"/>
      <c r="H290" s="75"/>
      <c r="I290" s="73">
        <v>10.7</v>
      </c>
    </row>
    <row r="291" ht="36.0" customHeight="1">
      <c r="A291" s="27" t="s">
        <v>1041</v>
      </c>
      <c r="B291" s="27" t="s">
        <v>1042</v>
      </c>
      <c r="C291" s="73" t="s">
        <v>361</v>
      </c>
      <c r="D291" s="73" t="s">
        <v>1038</v>
      </c>
      <c r="E291" s="73" t="s">
        <v>716</v>
      </c>
      <c r="F291" s="73" t="s">
        <v>165</v>
      </c>
      <c r="G291" s="77"/>
      <c r="H291" s="75"/>
      <c r="I291" s="73">
        <v>10.7</v>
      </c>
    </row>
    <row r="292" ht="36.0" customHeight="1">
      <c r="A292" s="27" t="s">
        <v>1044</v>
      </c>
      <c r="B292" s="27" t="s">
        <v>1045</v>
      </c>
      <c r="C292" s="73" t="s">
        <v>361</v>
      </c>
      <c r="D292" s="73" t="s">
        <v>1038</v>
      </c>
      <c r="E292" s="73" t="s">
        <v>716</v>
      </c>
      <c r="F292" s="73" t="s">
        <v>165</v>
      </c>
      <c r="G292" s="77"/>
      <c r="H292" s="75"/>
      <c r="I292" s="73">
        <v>10.7</v>
      </c>
    </row>
    <row r="293" ht="48.0" customHeight="1">
      <c r="A293" s="27" t="s">
        <v>1047</v>
      </c>
      <c r="B293" s="27" t="s">
        <v>1048</v>
      </c>
      <c r="C293" s="73" t="s">
        <v>174</v>
      </c>
      <c r="D293" s="73" t="s">
        <v>1049</v>
      </c>
      <c r="E293" s="73" t="s">
        <v>164</v>
      </c>
      <c r="F293" s="73" t="s">
        <v>165</v>
      </c>
      <c r="G293" s="77"/>
      <c r="H293" s="75"/>
      <c r="I293" s="73">
        <v>10.7</v>
      </c>
    </row>
    <row r="294" ht="46.5" customHeight="1">
      <c r="A294" s="27" t="s">
        <v>1050</v>
      </c>
      <c r="B294" s="27" t="s">
        <v>1051</v>
      </c>
      <c r="C294" s="73" t="s">
        <v>174</v>
      </c>
      <c r="D294" s="73" t="s">
        <v>1052</v>
      </c>
      <c r="E294" s="73" t="s">
        <v>383</v>
      </c>
      <c r="F294" s="73" t="s">
        <v>165</v>
      </c>
      <c r="G294" s="74" t="s">
        <v>384</v>
      </c>
      <c r="H294" s="75"/>
      <c r="I294" s="73">
        <v>12.1</v>
      </c>
    </row>
    <row r="295" ht="36.0" customHeight="1">
      <c r="A295" s="27" t="s">
        <v>1053</v>
      </c>
      <c r="B295" s="27" t="s">
        <v>1054</v>
      </c>
      <c r="C295" s="73" t="s">
        <v>174</v>
      </c>
      <c r="D295" s="73" t="s">
        <v>1052</v>
      </c>
      <c r="E295" s="73" t="s">
        <v>403</v>
      </c>
      <c r="F295" s="73" t="s">
        <v>165</v>
      </c>
      <c r="G295" s="74" t="s">
        <v>1055</v>
      </c>
      <c r="H295" s="75"/>
      <c r="I295" s="73">
        <v>12.1</v>
      </c>
    </row>
    <row r="296" ht="36.0" customHeight="1">
      <c r="A296" s="27" t="s">
        <v>1056</v>
      </c>
      <c r="B296" s="27" t="s">
        <v>1057</v>
      </c>
      <c r="C296" s="73" t="s">
        <v>174</v>
      </c>
      <c r="D296" s="73" t="s">
        <v>1058</v>
      </c>
      <c r="E296" s="73" t="s">
        <v>164</v>
      </c>
      <c r="F296" s="73" t="s">
        <v>165</v>
      </c>
      <c r="G296" s="77"/>
      <c r="H296" s="75"/>
      <c r="I296" s="73">
        <v>10.7</v>
      </c>
    </row>
    <row r="297" ht="52.5" customHeight="1">
      <c r="A297" s="27" t="s">
        <v>1059</v>
      </c>
      <c r="B297" s="27" t="s">
        <v>1060</v>
      </c>
      <c r="C297" s="73" t="s">
        <v>174</v>
      </c>
      <c r="D297" s="73" t="s">
        <v>1061</v>
      </c>
      <c r="E297" s="73" t="s">
        <v>164</v>
      </c>
      <c r="F297" s="73" t="s">
        <v>165</v>
      </c>
      <c r="G297" s="77"/>
      <c r="H297" s="75"/>
      <c r="I297" s="75"/>
    </row>
    <row r="298" ht="63.0" customHeight="1">
      <c r="A298" s="27" t="s">
        <v>1062</v>
      </c>
      <c r="B298" s="27" t="s">
        <v>1063</v>
      </c>
      <c r="C298" s="73" t="s">
        <v>174</v>
      </c>
      <c r="D298" s="73" t="s">
        <v>1064</v>
      </c>
      <c r="E298" s="73" t="s">
        <v>164</v>
      </c>
      <c r="F298" s="73" t="s">
        <v>165</v>
      </c>
      <c r="G298" s="77"/>
      <c r="H298" s="75"/>
      <c r="I298" s="73">
        <v>12.8</v>
      </c>
    </row>
    <row r="299" ht="36.0" customHeight="1">
      <c r="A299" s="18" t="str">
        <f>IF(OR($C$27="No",$C$28="Yes"),"PCI DSS - Optional based on QUALIFIER response.","PCI DSS")</f>
        <v>PCI DSS</v>
      </c>
      <c r="B299" s="3"/>
      <c r="C299" s="65" t="str">
        <f>$C$20</f>
        <v>CIS Critical Security Controls v6.1</v>
      </c>
      <c r="D299" s="65" t="str">
        <f>$D$20</f>
        <v>HIPAA</v>
      </c>
      <c r="E299" s="65" t="str">
        <f>$E$20</f>
        <v>ISO 27002:2013</v>
      </c>
      <c r="F299" s="65" t="str">
        <f>$F$20</f>
        <v>NIST Cybersecurity Framework</v>
      </c>
      <c r="G299" s="20" t="str">
        <f>$G$20</f>
        <v>NIST SP 800-171r1</v>
      </c>
      <c r="H299" s="65" t="str">
        <f>$H$20</f>
        <v>NIST SP 800-53r4</v>
      </c>
      <c r="I299" s="20" t="s">
        <v>157</v>
      </c>
    </row>
    <row r="300" ht="48.0" customHeight="1">
      <c r="A300" s="27" t="s">
        <v>1067</v>
      </c>
      <c r="B300" s="27" t="s">
        <v>1068</v>
      </c>
      <c r="C300" s="73" t="s">
        <v>174</v>
      </c>
      <c r="D300" s="93"/>
      <c r="E300" s="73" t="s">
        <v>164</v>
      </c>
      <c r="F300" s="73" t="s">
        <v>165</v>
      </c>
      <c r="G300" s="77"/>
      <c r="H300" s="93"/>
      <c r="I300" s="73">
        <v>12.8</v>
      </c>
    </row>
    <row r="301" ht="48.0" customHeight="1">
      <c r="A301" s="27" t="s">
        <v>1070</v>
      </c>
      <c r="B301" s="27" t="s">
        <v>1072</v>
      </c>
      <c r="C301" s="73" t="s">
        <v>174</v>
      </c>
      <c r="D301" s="93"/>
      <c r="E301" s="73" t="s">
        <v>164</v>
      </c>
      <c r="F301" s="73" t="s">
        <v>165</v>
      </c>
      <c r="G301" s="77"/>
      <c r="H301" s="93"/>
      <c r="I301" s="73">
        <v>12.8</v>
      </c>
    </row>
    <row r="302" ht="48.0" customHeight="1">
      <c r="A302" s="27" t="s">
        <v>1074</v>
      </c>
      <c r="B302" s="27" t="s">
        <v>1075</v>
      </c>
      <c r="C302" s="73" t="s">
        <v>174</v>
      </c>
      <c r="D302" s="93"/>
      <c r="E302" s="73" t="s">
        <v>164</v>
      </c>
      <c r="F302" s="73" t="s">
        <v>165</v>
      </c>
      <c r="G302" s="77"/>
      <c r="H302" s="93"/>
      <c r="I302" s="73">
        <v>12.8</v>
      </c>
    </row>
    <row r="303" ht="36.0" customHeight="1">
      <c r="A303" s="27" t="s">
        <v>1076</v>
      </c>
      <c r="B303" s="27" t="s">
        <v>1077</v>
      </c>
      <c r="C303" s="75"/>
      <c r="D303" s="93"/>
      <c r="E303" s="93"/>
      <c r="F303" s="73" t="s">
        <v>165</v>
      </c>
      <c r="G303" s="77"/>
      <c r="H303" s="93"/>
      <c r="I303" s="73">
        <v>12.8</v>
      </c>
    </row>
    <row r="304" ht="36.0" customHeight="1">
      <c r="A304" s="27" t="s">
        <v>1078</v>
      </c>
      <c r="B304" s="27" t="s">
        <v>1079</v>
      </c>
      <c r="C304" s="75"/>
      <c r="D304" s="93"/>
      <c r="E304" s="93"/>
      <c r="F304" s="73" t="s">
        <v>165</v>
      </c>
      <c r="G304" s="77"/>
      <c r="H304" s="93"/>
      <c r="I304" s="73">
        <v>12.8</v>
      </c>
    </row>
    <row r="305" ht="36.0" customHeight="1">
      <c r="A305" s="27" t="s">
        <v>1080</v>
      </c>
      <c r="B305" s="27" t="s">
        <v>1081</v>
      </c>
      <c r="C305" s="75"/>
      <c r="D305" s="93"/>
      <c r="E305" s="93"/>
      <c r="F305" s="73" t="s">
        <v>165</v>
      </c>
      <c r="G305" s="77"/>
      <c r="H305" s="93"/>
      <c r="I305" s="73">
        <v>12.8</v>
      </c>
    </row>
    <row r="306" ht="63.75" customHeight="1">
      <c r="A306" s="27" t="s">
        <v>1082</v>
      </c>
      <c r="B306" s="27" t="s">
        <v>1083</v>
      </c>
      <c r="C306" s="73" t="s">
        <v>1084</v>
      </c>
      <c r="D306" s="93"/>
      <c r="E306" s="93"/>
      <c r="F306" s="73" t="s">
        <v>165</v>
      </c>
      <c r="G306" s="101"/>
      <c r="H306" s="93"/>
      <c r="I306" s="73" t="s">
        <v>184</v>
      </c>
    </row>
    <row r="307" ht="63.75" customHeight="1">
      <c r="A307" s="27" t="s">
        <v>1085</v>
      </c>
      <c r="B307" s="27" t="s">
        <v>1086</v>
      </c>
      <c r="C307" s="73" t="s">
        <v>169</v>
      </c>
      <c r="D307" s="93"/>
      <c r="E307" s="93"/>
      <c r="F307" s="73" t="s">
        <v>165</v>
      </c>
      <c r="G307" s="101"/>
      <c r="H307" s="93"/>
      <c r="I307" s="73">
        <v>12.8</v>
      </c>
    </row>
    <row r="308" ht="36.0" customHeight="1">
      <c r="A308" s="27" t="s">
        <v>1087</v>
      </c>
      <c r="B308" s="27" t="s">
        <v>1088</v>
      </c>
      <c r="C308" s="73" t="s">
        <v>174</v>
      </c>
      <c r="D308" s="93"/>
      <c r="E308" s="93"/>
      <c r="F308" s="73" t="s">
        <v>165</v>
      </c>
      <c r="G308" s="77"/>
      <c r="H308" s="93"/>
      <c r="I308" s="73">
        <v>12.8</v>
      </c>
    </row>
    <row r="309" ht="36.0" customHeight="1">
      <c r="A309" s="27" t="s">
        <v>1089</v>
      </c>
      <c r="B309" s="27" t="s">
        <v>1090</v>
      </c>
      <c r="C309" s="75"/>
      <c r="D309" s="93"/>
      <c r="E309" s="93"/>
      <c r="F309" s="73" t="s">
        <v>165</v>
      </c>
      <c r="G309" s="77"/>
      <c r="H309" s="93"/>
      <c r="I309" s="73">
        <v>12.8</v>
      </c>
    </row>
    <row r="310" ht="54.0" customHeight="1">
      <c r="A310" s="27" t="s">
        <v>1092</v>
      </c>
      <c r="B310" s="27" t="s">
        <v>1093</v>
      </c>
      <c r="C310" s="73" t="s">
        <v>1094</v>
      </c>
      <c r="D310" s="93"/>
      <c r="E310" s="93"/>
      <c r="F310" s="73" t="s">
        <v>165</v>
      </c>
      <c r="G310" s="77"/>
      <c r="H310" s="93"/>
      <c r="I310" s="73">
        <v>12.8</v>
      </c>
    </row>
    <row r="311" ht="63.75" customHeight="1">
      <c r="A311" s="27" t="s">
        <v>1095</v>
      </c>
      <c r="B311" s="27" t="s">
        <v>1096</v>
      </c>
      <c r="C311" s="73" t="s">
        <v>174</v>
      </c>
      <c r="D311" s="93"/>
      <c r="E311" s="93"/>
      <c r="F311" s="73" t="s">
        <v>165</v>
      </c>
      <c r="G311" s="101"/>
      <c r="H311" s="93"/>
      <c r="I311" s="73">
        <v>12.8</v>
      </c>
    </row>
    <row r="312" ht="15.75" customHeight="1">
      <c r="B312" s="106"/>
      <c r="C312" s="107"/>
      <c r="D312" s="108"/>
      <c r="E312" s="109"/>
      <c r="F312" s="107"/>
      <c r="G312" s="110"/>
      <c r="H312" s="109"/>
      <c r="I312" s="9"/>
      <c r="J312" s="9"/>
      <c r="K312" s="9"/>
      <c r="L312" s="9"/>
      <c r="M312" s="9"/>
      <c r="N312" s="9"/>
      <c r="O312" s="9"/>
      <c r="P312" s="9"/>
      <c r="Q312" s="9"/>
      <c r="R312" s="9"/>
      <c r="S312" s="9"/>
      <c r="T312" s="9"/>
      <c r="U312" s="9"/>
      <c r="V312" s="9"/>
      <c r="W312" s="9"/>
      <c r="X312" s="9"/>
      <c r="Y312" s="9"/>
      <c r="Z312" s="9"/>
      <c r="AA312" s="9"/>
      <c r="AB312" s="9"/>
      <c r="AC312" s="9"/>
    </row>
    <row r="313" ht="15.75" customHeight="1">
      <c r="B313" s="106"/>
      <c r="C313" s="107"/>
      <c r="D313" s="108"/>
      <c r="E313" s="109"/>
      <c r="F313" s="107"/>
      <c r="G313" s="110"/>
      <c r="H313" s="109"/>
      <c r="I313" s="9"/>
      <c r="J313" s="9"/>
      <c r="K313" s="9"/>
      <c r="L313" s="9"/>
      <c r="M313" s="9"/>
      <c r="N313" s="9"/>
      <c r="O313" s="9"/>
      <c r="P313" s="9"/>
      <c r="Q313" s="9"/>
      <c r="R313" s="9"/>
      <c r="S313" s="9"/>
      <c r="T313" s="9"/>
      <c r="U313" s="9"/>
      <c r="V313" s="9"/>
      <c r="W313" s="9"/>
      <c r="X313" s="9"/>
      <c r="Y313" s="9"/>
      <c r="Z313" s="9"/>
      <c r="AA313" s="9"/>
      <c r="AB313" s="9"/>
      <c r="AC313" s="9"/>
    </row>
    <row r="314" ht="15.0" customHeight="1">
      <c r="A314" s="111" t="s">
        <v>150</v>
      </c>
      <c r="B314" s="61">
        <v>4.0</v>
      </c>
      <c r="C314" s="107"/>
      <c r="D314" s="108"/>
      <c r="E314" s="109"/>
      <c r="F314" s="107"/>
      <c r="G314" s="110"/>
      <c r="H314" s="109"/>
      <c r="I314" s="9"/>
      <c r="J314" s="9"/>
      <c r="K314" s="9"/>
      <c r="L314" s="9"/>
      <c r="M314" s="9"/>
      <c r="N314" s="9"/>
      <c r="O314" s="9"/>
      <c r="P314" s="9"/>
      <c r="Q314" s="9"/>
      <c r="R314" s="9"/>
      <c r="S314" s="9"/>
      <c r="T314" s="9"/>
      <c r="U314" s="9"/>
      <c r="V314" s="9"/>
      <c r="W314" s="9"/>
      <c r="X314" s="9"/>
      <c r="Y314" s="9"/>
      <c r="Z314" s="9"/>
      <c r="AA314" s="9"/>
      <c r="AB314" s="9"/>
      <c r="AC314" s="9"/>
    </row>
    <row r="315" ht="15.0" customHeight="1">
      <c r="A315" s="111" t="s">
        <v>152</v>
      </c>
      <c r="B315" s="61">
        <v>5.0</v>
      </c>
      <c r="C315" s="107"/>
      <c r="D315" s="108"/>
      <c r="E315" s="109"/>
      <c r="F315" s="107"/>
      <c r="G315" s="110"/>
      <c r="H315" s="109"/>
      <c r="I315" s="9"/>
      <c r="J315" s="9"/>
      <c r="K315" s="9"/>
      <c r="L315" s="9"/>
      <c r="M315" s="9"/>
      <c r="N315" s="9"/>
      <c r="O315" s="9"/>
      <c r="P315" s="9"/>
      <c r="Q315" s="9"/>
      <c r="R315" s="9"/>
      <c r="S315" s="9"/>
      <c r="T315" s="9"/>
      <c r="U315" s="9"/>
      <c r="V315" s="9"/>
      <c r="W315" s="9"/>
      <c r="X315" s="9"/>
      <c r="Y315" s="9"/>
      <c r="Z315" s="9"/>
      <c r="AA315" s="9"/>
      <c r="AB315" s="9"/>
      <c r="AC315" s="9"/>
    </row>
    <row r="316" ht="15.0" customHeight="1">
      <c r="A316" s="111" t="s">
        <v>153</v>
      </c>
      <c r="B316" s="61">
        <v>6.0</v>
      </c>
      <c r="C316" s="107"/>
      <c r="D316" s="108"/>
      <c r="E316" s="109"/>
      <c r="F316" s="107"/>
      <c r="G316" s="110"/>
      <c r="H316" s="109"/>
      <c r="I316" s="9"/>
      <c r="J316" s="9"/>
      <c r="K316" s="9"/>
      <c r="L316" s="9"/>
      <c r="M316" s="9"/>
      <c r="N316" s="9"/>
      <c r="O316" s="9"/>
      <c r="P316" s="9"/>
      <c r="Q316" s="9"/>
      <c r="R316" s="9"/>
      <c r="S316" s="9"/>
      <c r="T316" s="9"/>
      <c r="U316" s="9"/>
      <c r="V316" s="9"/>
      <c r="W316" s="9"/>
      <c r="X316" s="9"/>
      <c r="Y316" s="9"/>
      <c r="Z316" s="9"/>
      <c r="AA316" s="9"/>
      <c r="AB316" s="9"/>
      <c r="AC316" s="9"/>
    </row>
    <row r="317" ht="15.0" customHeight="1">
      <c r="A317" s="111" t="s">
        <v>154</v>
      </c>
      <c r="B317" s="61">
        <v>7.0</v>
      </c>
      <c r="C317" s="107"/>
      <c r="D317" s="108"/>
      <c r="E317" s="109"/>
      <c r="F317" s="107"/>
      <c r="G317" s="110"/>
      <c r="H317" s="109"/>
      <c r="I317" s="9"/>
      <c r="J317" s="9"/>
      <c r="K317" s="9"/>
      <c r="L317" s="9"/>
      <c r="M317" s="9"/>
      <c r="N317" s="9"/>
      <c r="O317" s="9"/>
      <c r="P317" s="9"/>
      <c r="Q317" s="9"/>
      <c r="R317" s="9"/>
      <c r="S317" s="9"/>
      <c r="T317" s="9"/>
      <c r="U317" s="9"/>
      <c r="V317" s="9"/>
      <c r="W317" s="9"/>
      <c r="X317" s="9"/>
      <c r="Y317" s="9"/>
      <c r="Z317" s="9"/>
      <c r="AA317" s="9"/>
      <c r="AB317" s="9"/>
      <c r="AC317" s="9"/>
    </row>
    <row r="318" ht="15.0" customHeight="1">
      <c r="A318" s="111" t="s">
        <v>155</v>
      </c>
      <c r="B318" s="61">
        <v>8.0</v>
      </c>
      <c r="C318" s="107"/>
      <c r="D318" s="108"/>
      <c r="E318" s="109"/>
      <c r="F318" s="107"/>
      <c r="G318" s="110"/>
      <c r="H318" s="109"/>
      <c r="I318" s="9"/>
      <c r="J318" s="9"/>
      <c r="K318" s="9"/>
      <c r="L318" s="9"/>
      <c r="M318" s="9"/>
      <c r="N318" s="9"/>
      <c r="O318" s="9"/>
      <c r="P318" s="9"/>
      <c r="Q318" s="9"/>
      <c r="R318" s="9"/>
      <c r="S318" s="9"/>
      <c r="T318" s="9"/>
      <c r="U318" s="9"/>
      <c r="V318" s="9"/>
      <c r="W318" s="9"/>
      <c r="X318" s="9"/>
      <c r="Y318" s="9"/>
      <c r="Z318" s="9"/>
      <c r="AA318" s="9"/>
      <c r="AB318" s="9"/>
      <c r="AC318" s="9"/>
    </row>
    <row r="319" ht="15.0" customHeight="1">
      <c r="A319" s="111" t="s">
        <v>156</v>
      </c>
      <c r="B319" s="61">
        <v>9.0</v>
      </c>
      <c r="C319" s="107"/>
      <c r="D319" s="108"/>
      <c r="E319" s="109"/>
      <c r="F319" s="107"/>
      <c r="G319" s="110"/>
      <c r="H319" s="109"/>
      <c r="I319" s="9"/>
      <c r="J319" s="9"/>
      <c r="K319" s="9"/>
      <c r="L319" s="9"/>
      <c r="M319" s="9"/>
      <c r="N319" s="9"/>
      <c r="O319" s="9"/>
      <c r="P319" s="9"/>
      <c r="Q319" s="9"/>
      <c r="R319" s="9"/>
      <c r="S319" s="9"/>
      <c r="T319" s="9"/>
      <c r="U319" s="9"/>
      <c r="V319" s="9"/>
      <c r="W319" s="9"/>
      <c r="X319" s="9"/>
      <c r="Y319" s="9"/>
      <c r="Z319" s="9"/>
      <c r="AA319" s="9"/>
      <c r="AB319" s="9"/>
      <c r="AC319" s="9"/>
    </row>
    <row r="320" ht="15.0" customHeight="1">
      <c r="A320" s="111" t="s">
        <v>157</v>
      </c>
      <c r="B320" s="61">
        <v>10.0</v>
      </c>
      <c r="C320" s="107"/>
      <c r="D320" s="108"/>
      <c r="E320" s="109"/>
      <c r="F320" s="107"/>
      <c r="G320" s="110"/>
      <c r="H320" s="109"/>
      <c r="I320" s="9"/>
      <c r="J320" s="9"/>
      <c r="K320" s="9"/>
      <c r="L320" s="9"/>
      <c r="M320" s="9"/>
      <c r="N320" s="9"/>
      <c r="O320" s="9"/>
      <c r="P320" s="9"/>
      <c r="Q320" s="9"/>
      <c r="R320" s="9"/>
      <c r="S320" s="9"/>
      <c r="T320" s="9"/>
      <c r="U320" s="9"/>
      <c r="V320" s="9"/>
      <c r="W320" s="9"/>
      <c r="X320" s="9"/>
      <c r="Y320" s="9"/>
      <c r="Z320" s="9"/>
      <c r="AA320" s="9"/>
      <c r="AB320" s="9"/>
      <c r="AC320" s="9"/>
    </row>
    <row r="321" ht="15.75" customHeight="1">
      <c r="B321" s="106"/>
      <c r="C321" s="107"/>
      <c r="D321" s="108"/>
      <c r="E321" s="109"/>
      <c r="F321" s="107"/>
      <c r="G321" s="110"/>
      <c r="H321" s="109"/>
      <c r="I321" s="9"/>
      <c r="J321" s="9"/>
      <c r="K321" s="9"/>
      <c r="L321" s="9"/>
      <c r="M321" s="9"/>
      <c r="N321" s="9"/>
      <c r="O321" s="9"/>
      <c r="P321" s="9"/>
      <c r="Q321" s="9"/>
      <c r="R321" s="9"/>
      <c r="S321" s="9"/>
      <c r="T321" s="9"/>
      <c r="U321" s="9"/>
      <c r="V321" s="9"/>
      <c r="W321" s="9"/>
      <c r="X321" s="9"/>
      <c r="Y321" s="9"/>
      <c r="Z321" s="9"/>
      <c r="AA321" s="9"/>
      <c r="AB321" s="9"/>
      <c r="AC321" s="9"/>
    </row>
    <row r="322" ht="15.75" customHeight="1">
      <c r="B322" s="106"/>
      <c r="C322" s="107"/>
      <c r="D322" s="108"/>
      <c r="E322" s="109"/>
      <c r="F322" s="107"/>
      <c r="G322" s="110"/>
      <c r="H322" s="109"/>
      <c r="I322" s="9"/>
      <c r="J322" s="9"/>
      <c r="K322" s="9"/>
      <c r="L322" s="9"/>
      <c r="M322" s="9"/>
      <c r="N322" s="9"/>
      <c r="O322" s="9"/>
      <c r="P322" s="9"/>
      <c r="Q322" s="9"/>
      <c r="R322" s="9"/>
      <c r="S322" s="9"/>
      <c r="T322" s="9"/>
      <c r="U322" s="9"/>
      <c r="V322" s="9"/>
      <c r="W322" s="9"/>
      <c r="X322" s="9"/>
      <c r="Y322" s="9"/>
      <c r="Z322" s="9"/>
      <c r="AA322" s="9"/>
      <c r="AB322" s="9"/>
      <c r="AC322" s="9"/>
    </row>
    <row r="323" ht="15.75" customHeight="1">
      <c r="B323" s="106"/>
      <c r="C323" s="107"/>
      <c r="D323" s="108"/>
      <c r="E323" s="109"/>
      <c r="F323" s="107"/>
      <c r="G323" s="110"/>
      <c r="H323" s="109"/>
      <c r="I323" s="9"/>
      <c r="J323" s="9"/>
      <c r="K323" s="9"/>
      <c r="L323" s="9"/>
      <c r="M323" s="9"/>
      <c r="N323" s="9"/>
      <c r="O323" s="9"/>
      <c r="P323" s="9"/>
      <c r="Q323" s="9"/>
      <c r="R323" s="9"/>
      <c r="S323" s="9"/>
      <c r="T323" s="9"/>
      <c r="U323" s="9"/>
      <c r="V323" s="9"/>
      <c r="W323" s="9"/>
      <c r="X323" s="9"/>
      <c r="Y323" s="9"/>
      <c r="Z323" s="9"/>
      <c r="AA323" s="9"/>
      <c r="AB323" s="9"/>
      <c r="AC323" s="9"/>
    </row>
    <row r="324" ht="15.75" customHeight="1">
      <c r="B324" s="106"/>
      <c r="C324" s="107"/>
      <c r="D324" s="108"/>
      <c r="E324" s="109"/>
      <c r="F324" s="107"/>
      <c r="G324" s="110"/>
      <c r="H324" s="109"/>
      <c r="I324" s="9"/>
      <c r="J324" s="9"/>
      <c r="K324" s="9"/>
      <c r="L324" s="9"/>
      <c r="M324" s="9"/>
      <c r="N324" s="9"/>
      <c r="O324" s="9"/>
      <c r="P324" s="9"/>
      <c r="Q324" s="9"/>
      <c r="R324" s="9"/>
      <c r="S324" s="9"/>
      <c r="T324" s="9"/>
      <c r="U324" s="9"/>
      <c r="V324" s="9"/>
      <c r="W324" s="9"/>
      <c r="X324" s="9"/>
      <c r="Y324" s="9"/>
      <c r="Z324" s="9"/>
      <c r="AA324" s="9"/>
      <c r="AB324" s="9"/>
      <c r="AC324" s="9"/>
    </row>
    <row r="325" ht="15.75" customHeight="1">
      <c r="B325" s="106"/>
      <c r="C325" s="107"/>
      <c r="D325" s="108"/>
      <c r="E325" s="109"/>
      <c r="F325" s="107"/>
      <c r="G325" s="110"/>
      <c r="H325" s="109"/>
      <c r="I325" s="9"/>
      <c r="J325" s="9"/>
      <c r="K325" s="9"/>
      <c r="L325" s="9"/>
      <c r="M325" s="9"/>
      <c r="N325" s="9"/>
      <c r="O325" s="9"/>
      <c r="P325" s="9"/>
      <c r="Q325" s="9"/>
      <c r="R325" s="9"/>
      <c r="S325" s="9"/>
      <c r="T325" s="9"/>
      <c r="U325" s="9"/>
      <c r="V325" s="9"/>
      <c r="W325" s="9"/>
      <c r="X325" s="9"/>
      <c r="Y325" s="9"/>
      <c r="Z325" s="9"/>
      <c r="AA325" s="9"/>
      <c r="AB325" s="9"/>
      <c r="AC325" s="9"/>
    </row>
    <row r="326" ht="15.75" customHeight="1">
      <c r="B326" s="106"/>
      <c r="C326" s="107"/>
      <c r="D326" s="108"/>
      <c r="E326" s="109"/>
      <c r="F326" s="107"/>
      <c r="G326" s="110"/>
      <c r="H326" s="109"/>
      <c r="I326" s="9"/>
      <c r="J326" s="9"/>
      <c r="K326" s="9"/>
      <c r="L326" s="9"/>
      <c r="M326" s="9"/>
      <c r="N326" s="9"/>
      <c r="O326" s="9"/>
      <c r="P326" s="9"/>
      <c r="Q326" s="9"/>
      <c r="R326" s="9"/>
      <c r="S326" s="9"/>
      <c r="T326" s="9"/>
      <c r="U326" s="9"/>
      <c r="V326" s="9"/>
      <c r="W326" s="9"/>
      <c r="X326" s="9"/>
      <c r="Y326" s="9"/>
      <c r="Z326" s="9"/>
      <c r="AA326" s="9"/>
      <c r="AB326" s="9"/>
      <c r="AC326" s="9"/>
    </row>
    <row r="327" ht="15.75" customHeight="1">
      <c r="B327" s="106"/>
      <c r="C327" s="107"/>
      <c r="D327" s="108"/>
      <c r="E327" s="109"/>
      <c r="F327" s="107"/>
      <c r="G327" s="110"/>
      <c r="H327" s="109"/>
      <c r="I327" s="9"/>
      <c r="J327" s="9"/>
      <c r="K327" s="9"/>
      <c r="L327" s="9"/>
      <c r="M327" s="9"/>
      <c r="N327" s="9"/>
      <c r="O327" s="9"/>
      <c r="P327" s="9"/>
      <c r="Q327" s="9"/>
      <c r="R327" s="9"/>
      <c r="S327" s="9"/>
      <c r="T327" s="9"/>
      <c r="U327" s="9"/>
      <c r="V327" s="9"/>
      <c r="W327" s="9"/>
      <c r="X327" s="9"/>
      <c r="Y327" s="9"/>
      <c r="Z327" s="9"/>
      <c r="AA327" s="9"/>
      <c r="AB327" s="9"/>
      <c r="AC327" s="9"/>
    </row>
    <row r="328" ht="15.75" customHeight="1">
      <c r="B328" s="106"/>
      <c r="C328" s="107"/>
      <c r="D328" s="108"/>
      <c r="E328" s="109"/>
      <c r="F328" s="107"/>
      <c r="G328" s="110"/>
      <c r="H328" s="109"/>
      <c r="I328" s="9"/>
      <c r="J328" s="9"/>
      <c r="K328" s="9"/>
      <c r="L328" s="9"/>
      <c r="M328" s="9"/>
      <c r="N328" s="9"/>
      <c r="O328" s="9"/>
      <c r="P328" s="9"/>
      <c r="Q328" s="9"/>
      <c r="R328" s="9"/>
      <c r="S328" s="9"/>
      <c r="T328" s="9"/>
      <c r="U328" s="9"/>
      <c r="V328" s="9"/>
      <c r="W328" s="9"/>
      <c r="X328" s="9"/>
      <c r="Y328" s="9"/>
      <c r="Z328" s="9"/>
      <c r="AA328" s="9"/>
      <c r="AB328" s="9"/>
      <c r="AC328" s="9"/>
    </row>
    <row r="329" ht="15.75" customHeight="1">
      <c r="B329" s="106"/>
      <c r="C329" s="107"/>
      <c r="D329" s="108"/>
      <c r="E329" s="109"/>
      <c r="F329" s="107"/>
      <c r="G329" s="110"/>
      <c r="H329" s="109"/>
      <c r="I329" s="9"/>
      <c r="J329" s="9"/>
      <c r="K329" s="9"/>
      <c r="L329" s="9"/>
      <c r="M329" s="9"/>
      <c r="N329" s="9"/>
      <c r="O329" s="9"/>
      <c r="P329" s="9"/>
      <c r="Q329" s="9"/>
      <c r="R329" s="9"/>
      <c r="S329" s="9"/>
      <c r="T329" s="9"/>
      <c r="U329" s="9"/>
      <c r="V329" s="9"/>
      <c r="W329" s="9"/>
      <c r="X329" s="9"/>
      <c r="Y329" s="9"/>
      <c r="Z329" s="9"/>
      <c r="AA329" s="9"/>
      <c r="AB329" s="9"/>
      <c r="AC329" s="9"/>
    </row>
    <row r="330" ht="15.75" customHeight="1">
      <c r="B330" s="106"/>
      <c r="C330" s="107"/>
      <c r="D330" s="108"/>
      <c r="E330" s="109"/>
      <c r="F330" s="107"/>
      <c r="G330" s="110"/>
      <c r="H330" s="109"/>
      <c r="I330" s="9"/>
      <c r="J330" s="9"/>
      <c r="K330" s="9"/>
      <c r="L330" s="9"/>
      <c r="M330" s="9"/>
      <c r="N330" s="9"/>
      <c r="O330" s="9"/>
      <c r="P330" s="9"/>
      <c r="Q330" s="9"/>
      <c r="R330" s="9"/>
      <c r="S330" s="9"/>
      <c r="T330" s="9"/>
      <c r="U330" s="9"/>
      <c r="V330" s="9"/>
      <c r="W330" s="9"/>
      <c r="X330" s="9"/>
      <c r="Y330" s="9"/>
      <c r="Z330" s="9"/>
      <c r="AA330" s="9"/>
      <c r="AB330" s="9"/>
      <c r="AC330" s="9"/>
    </row>
    <row r="331" ht="15.75" customHeight="1">
      <c r="B331" s="106"/>
      <c r="C331" s="107"/>
      <c r="D331" s="108"/>
      <c r="E331" s="109"/>
      <c r="F331" s="107"/>
      <c r="G331" s="110"/>
      <c r="H331" s="109"/>
      <c r="I331" s="9"/>
      <c r="J331" s="9"/>
      <c r="K331" s="9"/>
      <c r="L331" s="9"/>
      <c r="M331" s="9"/>
      <c r="N331" s="9"/>
      <c r="O331" s="9"/>
      <c r="P331" s="9"/>
      <c r="Q331" s="9"/>
      <c r="R331" s="9"/>
      <c r="S331" s="9"/>
      <c r="T331" s="9"/>
      <c r="U331" s="9"/>
      <c r="V331" s="9"/>
      <c r="W331" s="9"/>
      <c r="X331" s="9"/>
      <c r="Y331" s="9"/>
      <c r="Z331" s="9"/>
      <c r="AA331" s="9"/>
      <c r="AB331" s="9"/>
      <c r="AC331" s="9"/>
    </row>
    <row r="332" ht="15.75" customHeight="1">
      <c r="B332" s="106"/>
      <c r="C332" s="107"/>
      <c r="D332" s="108"/>
      <c r="E332" s="109"/>
      <c r="F332" s="107"/>
      <c r="G332" s="110"/>
      <c r="H332" s="109"/>
      <c r="I332" s="9"/>
      <c r="J332" s="9"/>
      <c r="K332" s="9"/>
      <c r="L332" s="9"/>
      <c r="M332" s="9"/>
      <c r="N332" s="9"/>
      <c r="O332" s="9"/>
      <c r="P332" s="9"/>
      <c r="Q332" s="9"/>
      <c r="R332" s="9"/>
      <c r="S332" s="9"/>
      <c r="T332" s="9"/>
      <c r="U332" s="9"/>
      <c r="V332" s="9"/>
      <c r="W332" s="9"/>
      <c r="X332" s="9"/>
      <c r="Y332" s="9"/>
      <c r="Z332" s="9"/>
      <c r="AA332" s="9"/>
      <c r="AB332" s="9"/>
      <c r="AC332" s="9"/>
    </row>
    <row r="333" ht="15.75" customHeight="1">
      <c r="B333" s="106"/>
      <c r="C333" s="107"/>
      <c r="D333" s="108"/>
      <c r="E333" s="109"/>
      <c r="F333" s="107"/>
      <c r="G333" s="110"/>
      <c r="H333" s="109"/>
      <c r="I333" s="9"/>
      <c r="J333" s="9"/>
      <c r="K333" s="9"/>
      <c r="L333" s="9"/>
      <c r="M333" s="9"/>
      <c r="N333" s="9"/>
      <c r="O333" s="9"/>
      <c r="P333" s="9"/>
      <c r="Q333" s="9"/>
      <c r="R333" s="9"/>
      <c r="S333" s="9"/>
      <c r="T333" s="9"/>
      <c r="U333" s="9"/>
      <c r="V333" s="9"/>
      <c r="W333" s="9"/>
      <c r="X333" s="9"/>
      <c r="Y333" s="9"/>
      <c r="Z333" s="9"/>
      <c r="AA333" s="9"/>
      <c r="AB333" s="9"/>
      <c r="AC333" s="9"/>
    </row>
    <row r="334" ht="15.75" customHeight="1">
      <c r="B334" s="106"/>
      <c r="C334" s="107"/>
      <c r="D334" s="108"/>
      <c r="E334" s="109"/>
      <c r="F334" s="107"/>
      <c r="G334" s="110"/>
      <c r="H334" s="109"/>
      <c r="I334" s="9"/>
      <c r="J334" s="9"/>
      <c r="K334" s="9"/>
      <c r="L334" s="9"/>
      <c r="M334" s="9"/>
      <c r="N334" s="9"/>
      <c r="O334" s="9"/>
      <c r="P334" s="9"/>
      <c r="Q334" s="9"/>
      <c r="R334" s="9"/>
      <c r="S334" s="9"/>
      <c r="T334" s="9"/>
      <c r="U334" s="9"/>
      <c r="V334" s="9"/>
      <c r="W334" s="9"/>
      <c r="X334" s="9"/>
      <c r="Y334" s="9"/>
      <c r="Z334" s="9"/>
      <c r="AA334" s="9"/>
      <c r="AB334" s="9"/>
      <c r="AC334" s="9"/>
    </row>
    <row r="335" ht="15.75" customHeight="1">
      <c r="B335" s="106"/>
      <c r="C335" s="107"/>
      <c r="D335" s="108"/>
      <c r="E335" s="109"/>
      <c r="F335" s="107"/>
      <c r="G335" s="110"/>
      <c r="H335" s="109"/>
      <c r="I335" s="9"/>
      <c r="J335" s="9"/>
      <c r="K335" s="9"/>
      <c r="L335" s="9"/>
      <c r="M335" s="9"/>
      <c r="N335" s="9"/>
      <c r="O335" s="9"/>
      <c r="P335" s="9"/>
      <c r="Q335" s="9"/>
      <c r="R335" s="9"/>
      <c r="S335" s="9"/>
      <c r="T335" s="9"/>
      <c r="U335" s="9"/>
      <c r="V335" s="9"/>
      <c r="W335" s="9"/>
      <c r="X335" s="9"/>
      <c r="Y335" s="9"/>
      <c r="Z335" s="9"/>
      <c r="AA335" s="9"/>
      <c r="AB335" s="9"/>
      <c r="AC335" s="9"/>
    </row>
    <row r="336" ht="15.75" customHeight="1">
      <c r="B336" s="106"/>
      <c r="C336" s="107"/>
      <c r="D336" s="108"/>
      <c r="E336" s="109"/>
      <c r="F336" s="107"/>
      <c r="G336" s="110"/>
      <c r="H336" s="109"/>
      <c r="I336" s="9"/>
      <c r="J336" s="9"/>
      <c r="K336" s="9"/>
      <c r="L336" s="9"/>
      <c r="M336" s="9"/>
      <c r="N336" s="9"/>
      <c r="O336" s="9"/>
      <c r="P336" s="9"/>
      <c r="Q336" s="9"/>
      <c r="R336" s="9"/>
      <c r="S336" s="9"/>
      <c r="T336" s="9"/>
      <c r="U336" s="9"/>
      <c r="V336" s="9"/>
      <c r="W336" s="9"/>
      <c r="X336" s="9"/>
      <c r="Y336" s="9"/>
      <c r="Z336" s="9"/>
      <c r="AA336" s="9"/>
      <c r="AB336" s="9"/>
      <c r="AC336" s="9"/>
    </row>
    <row r="337" ht="15.75" customHeight="1">
      <c r="B337" s="106"/>
      <c r="C337" s="107"/>
      <c r="D337" s="108"/>
      <c r="E337" s="109"/>
      <c r="F337" s="107"/>
      <c r="G337" s="110"/>
      <c r="H337" s="109"/>
      <c r="I337" s="9"/>
      <c r="J337" s="9"/>
      <c r="K337" s="9"/>
      <c r="L337" s="9"/>
      <c r="M337" s="9"/>
      <c r="N337" s="9"/>
      <c r="O337" s="9"/>
      <c r="P337" s="9"/>
      <c r="Q337" s="9"/>
      <c r="R337" s="9"/>
      <c r="S337" s="9"/>
      <c r="T337" s="9"/>
      <c r="U337" s="9"/>
      <c r="V337" s="9"/>
      <c r="W337" s="9"/>
      <c r="X337" s="9"/>
      <c r="Y337" s="9"/>
      <c r="Z337" s="9"/>
      <c r="AA337" s="9"/>
      <c r="AB337" s="9"/>
      <c r="AC337" s="9"/>
    </row>
    <row r="338" ht="15.75" customHeight="1">
      <c r="B338" s="106"/>
      <c r="C338" s="107"/>
      <c r="D338" s="108"/>
      <c r="E338" s="109"/>
      <c r="F338" s="107"/>
      <c r="G338" s="110"/>
      <c r="H338" s="109"/>
      <c r="I338" s="9"/>
      <c r="J338" s="9"/>
      <c r="K338" s="9"/>
      <c r="L338" s="9"/>
      <c r="M338" s="9"/>
      <c r="N338" s="9"/>
      <c r="O338" s="9"/>
      <c r="P338" s="9"/>
      <c r="Q338" s="9"/>
      <c r="R338" s="9"/>
      <c r="S338" s="9"/>
      <c r="T338" s="9"/>
      <c r="U338" s="9"/>
      <c r="V338" s="9"/>
      <c r="W338" s="9"/>
      <c r="X338" s="9"/>
      <c r="Y338" s="9"/>
      <c r="Z338" s="9"/>
      <c r="AA338" s="9"/>
      <c r="AB338" s="9"/>
      <c r="AC338" s="9"/>
    </row>
    <row r="339" ht="15.75" customHeight="1">
      <c r="B339" s="106"/>
      <c r="C339" s="107"/>
      <c r="D339" s="108"/>
      <c r="E339" s="109"/>
      <c r="F339" s="107"/>
      <c r="G339" s="110"/>
      <c r="H339" s="109"/>
      <c r="I339" s="9"/>
      <c r="J339" s="9"/>
      <c r="K339" s="9"/>
      <c r="L339" s="9"/>
      <c r="M339" s="9"/>
      <c r="N339" s="9"/>
      <c r="O339" s="9"/>
      <c r="P339" s="9"/>
      <c r="Q339" s="9"/>
      <c r="R339" s="9"/>
      <c r="S339" s="9"/>
      <c r="T339" s="9"/>
      <c r="U339" s="9"/>
      <c r="V339" s="9"/>
      <c r="W339" s="9"/>
      <c r="X339" s="9"/>
      <c r="Y339" s="9"/>
      <c r="Z339" s="9"/>
      <c r="AA339" s="9"/>
      <c r="AB339" s="9"/>
      <c r="AC339" s="9"/>
    </row>
    <row r="340" ht="15.75" customHeight="1">
      <c r="B340" s="106"/>
      <c r="C340" s="107"/>
      <c r="D340" s="108"/>
      <c r="E340" s="109"/>
      <c r="F340" s="107"/>
      <c r="G340" s="110"/>
      <c r="H340" s="109"/>
      <c r="I340" s="9"/>
      <c r="J340" s="9"/>
      <c r="K340" s="9"/>
      <c r="L340" s="9"/>
      <c r="M340" s="9"/>
      <c r="N340" s="9"/>
      <c r="O340" s="9"/>
      <c r="P340" s="9"/>
      <c r="Q340" s="9"/>
      <c r="R340" s="9"/>
      <c r="S340" s="9"/>
      <c r="T340" s="9"/>
      <c r="U340" s="9"/>
      <c r="V340" s="9"/>
      <c r="W340" s="9"/>
      <c r="X340" s="9"/>
      <c r="Y340" s="9"/>
      <c r="Z340" s="9"/>
      <c r="AA340" s="9"/>
      <c r="AB340" s="9"/>
      <c r="AC340" s="9"/>
    </row>
    <row r="341" ht="15.75" customHeight="1">
      <c r="B341" s="106"/>
      <c r="C341" s="107"/>
      <c r="D341" s="108"/>
      <c r="E341" s="109"/>
      <c r="F341" s="107"/>
      <c r="G341" s="110"/>
      <c r="H341" s="109"/>
      <c r="I341" s="9"/>
      <c r="J341" s="9"/>
      <c r="K341" s="9"/>
      <c r="L341" s="9"/>
      <c r="M341" s="9"/>
      <c r="N341" s="9"/>
      <c r="O341" s="9"/>
      <c r="P341" s="9"/>
      <c r="Q341" s="9"/>
      <c r="R341" s="9"/>
      <c r="S341" s="9"/>
      <c r="T341" s="9"/>
      <c r="U341" s="9"/>
      <c r="V341" s="9"/>
      <c r="W341" s="9"/>
      <c r="X341" s="9"/>
      <c r="Y341" s="9"/>
      <c r="Z341" s="9"/>
      <c r="AA341" s="9"/>
      <c r="AB341" s="9"/>
      <c r="AC341" s="9"/>
    </row>
    <row r="342" ht="15.75" customHeight="1">
      <c r="B342" s="106"/>
      <c r="C342" s="107"/>
      <c r="D342" s="108"/>
      <c r="E342" s="109"/>
      <c r="F342" s="107"/>
      <c r="G342" s="110"/>
      <c r="H342" s="109"/>
      <c r="I342" s="9"/>
      <c r="J342" s="9"/>
      <c r="K342" s="9"/>
      <c r="L342" s="9"/>
      <c r="M342" s="9"/>
      <c r="N342" s="9"/>
      <c r="O342" s="9"/>
      <c r="P342" s="9"/>
      <c r="Q342" s="9"/>
      <c r="R342" s="9"/>
      <c r="S342" s="9"/>
      <c r="T342" s="9"/>
      <c r="U342" s="9"/>
      <c r="V342" s="9"/>
      <c r="W342" s="9"/>
      <c r="X342" s="9"/>
      <c r="Y342" s="9"/>
      <c r="Z342" s="9"/>
      <c r="AA342" s="9"/>
      <c r="AB342" s="9"/>
      <c r="AC342" s="9"/>
    </row>
    <row r="343" ht="15.75" customHeight="1">
      <c r="B343" s="106"/>
      <c r="C343" s="107"/>
      <c r="D343" s="108"/>
      <c r="E343" s="109"/>
      <c r="F343" s="107"/>
      <c r="G343" s="110"/>
      <c r="H343" s="109"/>
      <c r="I343" s="9"/>
      <c r="J343" s="9"/>
      <c r="K343" s="9"/>
      <c r="L343" s="9"/>
      <c r="M343" s="9"/>
      <c r="N343" s="9"/>
      <c r="O343" s="9"/>
      <c r="P343" s="9"/>
      <c r="Q343" s="9"/>
      <c r="R343" s="9"/>
      <c r="S343" s="9"/>
      <c r="T343" s="9"/>
      <c r="U343" s="9"/>
      <c r="V343" s="9"/>
      <c r="W343" s="9"/>
      <c r="X343" s="9"/>
      <c r="Y343" s="9"/>
      <c r="Z343" s="9"/>
      <c r="AA343" s="9"/>
      <c r="AB343" s="9"/>
      <c r="AC343" s="9"/>
    </row>
    <row r="344" ht="15.75" customHeight="1">
      <c r="B344" s="106"/>
      <c r="C344" s="107"/>
      <c r="D344" s="108"/>
      <c r="E344" s="109"/>
      <c r="F344" s="107"/>
      <c r="G344" s="110"/>
      <c r="H344" s="109"/>
      <c r="I344" s="9"/>
      <c r="J344" s="9"/>
      <c r="K344" s="9"/>
      <c r="L344" s="9"/>
      <c r="M344" s="9"/>
      <c r="N344" s="9"/>
      <c r="O344" s="9"/>
      <c r="P344" s="9"/>
      <c r="Q344" s="9"/>
      <c r="R344" s="9"/>
      <c r="S344" s="9"/>
      <c r="T344" s="9"/>
      <c r="U344" s="9"/>
      <c r="V344" s="9"/>
      <c r="W344" s="9"/>
      <c r="X344" s="9"/>
      <c r="Y344" s="9"/>
      <c r="Z344" s="9"/>
      <c r="AA344" s="9"/>
      <c r="AB344" s="9"/>
      <c r="AC344" s="9"/>
    </row>
    <row r="345" ht="15.75" customHeight="1">
      <c r="B345" s="106"/>
      <c r="C345" s="107"/>
      <c r="D345" s="108"/>
      <c r="E345" s="109"/>
      <c r="F345" s="107"/>
      <c r="G345" s="110"/>
      <c r="H345" s="109"/>
      <c r="I345" s="9"/>
      <c r="J345" s="9"/>
      <c r="K345" s="9"/>
      <c r="L345" s="9"/>
      <c r="M345" s="9"/>
      <c r="N345" s="9"/>
      <c r="O345" s="9"/>
      <c r="P345" s="9"/>
      <c r="Q345" s="9"/>
      <c r="R345" s="9"/>
      <c r="S345" s="9"/>
      <c r="T345" s="9"/>
      <c r="U345" s="9"/>
      <c r="V345" s="9"/>
      <c r="W345" s="9"/>
      <c r="X345" s="9"/>
      <c r="Y345" s="9"/>
      <c r="Z345" s="9"/>
      <c r="AA345" s="9"/>
      <c r="AB345" s="9"/>
      <c r="AC345" s="9"/>
    </row>
    <row r="346" ht="15.75" customHeight="1">
      <c r="B346" s="106"/>
      <c r="C346" s="107"/>
      <c r="D346" s="108"/>
      <c r="E346" s="109"/>
      <c r="F346" s="107"/>
      <c r="G346" s="110"/>
      <c r="H346" s="109"/>
      <c r="I346" s="9"/>
      <c r="J346" s="9"/>
      <c r="K346" s="9"/>
      <c r="L346" s="9"/>
      <c r="M346" s="9"/>
      <c r="N346" s="9"/>
      <c r="O346" s="9"/>
      <c r="P346" s="9"/>
      <c r="Q346" s="9"/>
      <c r="R346" s="9"/>
      <c r="S346" s="9"/>
      <c r="T346" s="9"/>
      <c r="U346" s="9"/>
      <c r="V346" s="9"/>
      <c r="W346" s="9"/>
      <c r="X346" s="9"/>
      <c r="Y346" s="9"/>
      <c r="Z346" s="9"/>
      <c r="AA346" s="9"/>
      <c r="AB346" s="9"/>
      <c r="AC346" s="9"/>
    </row>
    <row r="347" ht="15.75" customHeight="1">
      <c r="B347" s="106"/>
      <c r="C347" s="107"/>
      <c r="D347" s="108"/>
      <c r="E347" s="109"/>
      <c r="F347" s="107"/>
      <c r="G347" s="110"/>
      <c r="H347" s="109"/>
      <c r="I347" s="9"/>
      <c r="J347" s="9"/>
      <c r="K347" s="9"/>
      <c r="L347" s="9"/>
      <c r="M347" s="9"/>
      <c r="N347" s="9"/>
      <c r="O347" s="9"/>
      <c r="P347" s="9"/>
      <c r="Q347" s="9"/>
      <c r="R347" s="9"/>
      <c r="S347" s="9"/>
      <c r="T347" s="9"/>
      <c r="U347" s="9"/>
      <c r="V347" s="9"/>
      <c r="W347" s="9"/>
      <c r="X347" s="9"/>
      <c r="Y347" s="9"/>
      <c r="Z347" s="9"/>
      <c r="AA347" s="9"/>
      <c r="AB347" s="9"/>
      <c r="AC347" s="9"/>
    </row>
    <row r="348" ht="15.75" customHeight="1">
      <c r="B348" s="106"/>
      <c r="C348" s="107"/>
      <c r="D348" s="108"/>
      <c r="E348" s="109"/>
      <c r="F348" s="107"/>
      <c r="G348" s="110"/>
      <c r="H348" s="109"/>
      <c r="I348" s="9"/>
      <c r="J348" s="9"/>
      <c r="K348" s="9"/>
      <c r="L348" s="9"/>
      <c r="M348" s="9"/>
      <c r="N348" s="9"/>
      <c r="O348" s="9"/>
      <c r="P348" s="9"/>
      <c r="Q348" s="9"/>
      <c r="R348" s="9"/>
      <c r="S348" s="9"/>
      <c r="T348" s="9"/>
      <c r="U348" s="9"/>
      <c r="V348" s="9"/>
      <c r="W348" s="9"/>
      <c r="X348" s="9"/>
      <c r="Y348" s="9"/>
      <c r="Z348" s="9"/>
      <c r="AA348" s="9"/>
      <c r="AB348" s="9"/>
      <c r="AC348" s="9"/>
    </row>
    <row r="349" ht="15.75" customHeight="1">
      <c r="B349" s="106"/>
      <c r="C349" s="107"/>
      <c r="D349" s="108"/>
      <c r="E349" s="109"/>
      <c r="F349" s="107"/>
      <c r="G349" s="110"/>
      <c r="H349" s="109"/>
      <c r="I349" s="9"/>
      <c r="J349" s="9"/>
      <c r="K349" s="9"/>
      <c r="L349" s="9"/>
      <c r="M349" s="9"/>
      <c r="N349" s="9"/>
      <c r="O349" s="9"/>
      <c r="P349" s="9"/>
      <c r="Q349" s="9"/>
      <c r="R349" s="9"/>
      <c r="S349" s="9"/>
      <c r="T349" s="9"/>
      <c r="U349" s="9"/>
      <c r="V349" s="9"/>
      <c r="W349" s="9"/>
      <c r="X349" s="9"/>
      <c r="Y349" s="9"/>
      <c r="Z349" s="9"/>
      <c r="AA349" s="9"/>
      <c r="AB349" s="9"/>
      <c r="AC349" s="9"/>
    </row>
    <row r="350" ht="15.75" customHeight="1">
      <c r="B350" s="106"/>
      <c r="C350" s="107"/>
      <c r="D350" s="108"/>
      <c r="E350" s="109"/>
      <c r="F350" s="107"/>
      <c r="G350" s="110"/>
      <c r="H350" s="109"/>
      <c r="I350" s="9"/>
      <c r="J350" s="9"/>
      <c r="K350" s="9"/>
      <c r="L350" s="9"/>
      <c r="M350" s="9"/>
      <c r="N350" s="9"/>
      <c r="O350" s="9"/>
      <c r="P350" s="9"/>
      <c r="Q350" s="9"/>
      <c r="R350" s="9"/>
      <c r="S350" s="9"/>
      <c r="T350" s="9"/>
      <c r="U350" s="9"/>
      <c r="V350" s="9"/>
      <c r="W350" s="9"/>
      <c r="X350" s="9"/>
      <c r="Y350" s="9"/>
      <c r="Z350" s="9"/>
      <c r="AA350" s="9"/>
      <c r="AB350" s="9"/>
      <c r="AC350" s="9"/>
    </row>
    <row r="351" ht="15.75" customHeight="1">
      <c r="B351" s="106"/>
      <c r="C351" s="107"/>
      <c r="D351" s="108"/>
      <c r="E351" s="109"/>
      <c r="F351" s="107"/>
      <c r="G351" s="110"/>
      <c r="H351" s="109"/>
      <c r="I351" s="9"/>
      <c r="J351" s="9"/>
      <c r="K351" s="9"/>
      <c r="L351" s="9"/>
      <c r="M351" s="9"/>
      <c r="N351" s="9"/>
      <c r="O351" s="9"/>
      <c r="P351" s="9"/>
      <c r="Q351" s="9"/>
      <c r="R351" s="9"/>
      <c r="S351" s="9"/>
      <c r="T351" s="9"/>
      <c r="U351" s="9"/>
      <c r="V351" s="9"/>
      <c r="W351" s="9"/>
      <c r="X351" s="9"/>
      <c r="Y351" s="9"/>
      <c r="Z351" s="9"/>
      <c r="AA351" s="9"/>
      <c r="AB351" s="9"/>
      <c r="AC351" s="9"/>
    </row>
    <row r="352" ht="15.75" customHeight="1">
      <c r="B352" s="106"/>
      <c r="C352" s="107"/>
      <c r="D352" s="108"/>
      <c r="E352" s="109"/>
      <c r="F352" s="107"/>
      <c r="G352" s="110"/>
      <c r="H352" s="109"/>
      <c r="I352" s="9"/>
      <c r="J352" s="9"/>
      <c r="K352" s="9"/>
      <c r="L352" s="9"/>
      <c r="M352" s="9"/>
      <c r="N352" s="9"/>
      <c r="O352" s="9"/>
      <c r="P352" s="9"/>
      <c r="Q352" s="9"/>
      <c r="R352" s="9"/>
      <c r="S352" s="9"/>
      <c r="T352" s="9"/>
      <c r="U352" s="9"/>
      <c r="V352" s="9"/>
      <c r="W352" s="9"/>
      <c r="X352" s="9"/>
      <c r="Y352" s="9"/>
      <c r="Z352" s="9"/>
      <c r="AA352" s="9"/>
      <c r="AB352" s="9"/>
      <c r="AC352" s="9"/>
    </row>
    <row r="353" ht="15.75" customHeight="1">
      <c r="B353" s="106"/>
      <c r="C353" s="107"/>
      <c r="D353" s="108"/>
      <c r="E353" s="109"/>
      <c r="F353" s="107"/>
      <c r="G353" s="110"/>
      <c r="H353" s="109"/>
      <c r="I353" s="9"/>
      <c r="J353" s="9"/>
      <c r="K353" s="9"/>
      <c r="L353" s="9"/>
      <c r="M353" s="9"/>
      <c r="N353" s="9"/>
      <c r="O353" s="9"/>
      <c r="P353" s="9"/>
      <c r="Q353" s="9"/>
      <c r="R353" s="9"/>
      <c r="S353" s="9"/>
      <c r="T353" s="9"/>
      <c r="U353" s="9"/>
      <c r="V353" s="9"/>
      <c r="W353" s="9"/>
      <c r="X353" s="9"/>
      <c r="Y353" s="9"/>
      <c r="Z353" s="9"/>
      <c r="AA353" s="9"/>
      <c r="AB353" s="9"/>
      <c r="AC353" s="9"/>
    </row>
    <row r="354" ht="15.75" customHeight="1">
      <c r="B354" s="106"/>
      <c r="C354" s="107"/>
      <c r="D354" s="108"/>
      <c r="E354" s="109"/>
      <c r="F354" s="107"/>
      <c r="G354" s="110"/>
      <c r="H354" s="109"/>
      <c r="I354" s="9"/>
      <c r="J354" s="9"/>
      <c r="K354" s="9"/>
      <c r="L354" s="9"/>
      <c r="M354" s="9"/>
      <c r="N354" s="9"/>
      <c r="O354" s="9"/>
      <c r="P354" s="9"/>
      <c r="Q354" s="9"/>
      <c r="R354" s="9"/>
      <c r="S354" s="9"/>
      <c r="T354" s="9"/>
      <c r="U354" s="9"/>
      <c r="V354" s="9"/>
      <c r="W354" s="9"/>
      <c r="X354" s="9"/>
      <c r="Y354" s="9"/>
      <c r="Z354" s="9"/>
      <c r="AA354" s="9"/>
      <c r="AB354" s="9"/>
      <c r="AC354" s="9"/>
    </row>
    <row r="355" ht="15.75" customHeight="1">
      <c r="B355" s="106"/>
      <c r="C355" s="107"/>
      <c r="D355" s="108"/>
      <c r="E355" s="109"/>
      <c r="F355" s="107"/>
      <c r="G355" s="110"/>
      <c r="H355" s="109"/>
      <c r="I355" s="9"/>
      <c r="J355" s="9"/>
      <c r="K355" s="9"/>
      <c r="L355" s="9"/>
      <c r="M355" s="9"/>
      <c r="N355" s="9"/>
      <c r="O355" s="9"/>
      <c r="P355" s="9"/>
      <c r="Q355" s="9"/>
      <c r="R355" s="9"/>
      <c r="S355" s="9"/>
      <c r="T355" s="9"/>
      <c r="U355" s="9"/>
      <c r="V355" s="9"/>
      <c r="W355" s="9"/>
      <c r="X355" s="9"/>
      <c r="Y355" s="9"/>
      <c r="Z355" s="9"/>
      <c r="AA355" s="9"/>
      <c r="AB355" s="9"/>
      <c r="AC355" s="9"/>
    </row>
    <row r="356" ht="15.75" customHeight="1">
      <c r="B356" s="106"/>
      <c r="C356" s="107"/>
      <c r="D356" s="108"/>
      <c r="E356" s="109"/>
      <c r="F356" s="107"/>
      <c r="G356" s="110"/>
      <c r="H356" s="109"/>
      <c r="I356" s="9"/>
      <c r="J356" s="9"/>
      <c r="K356" s="9"/>
      <c r="L356" s="9"/>
      <c r="M356" s="9"/>
      <c r="N356" s="9"/>
      <c r="O356" s="9"/>
      <c r="P356" s="9"/>
      <c r="Q356" s="9"/>
      <c r="R356" s="9"/>
      <c r="S356" s="9"/>
      <c r="T356" s="9"/>
      <c r="U356" s="9"/>
      <c r="V356" s="9"/>
      <c r="W356" s="9"/>
      <c r="X356" s="9"/>
      <c r="Y356" s="9"/>
      <c r="Z356" s="9"/>
      <c r="AA356" s="9"/>
      <c r="AB356" s="9"/>
      <c r="AC356" s="9"/>
    </row>
    <row r="357" ht="15.75" customHeight="1">
      <c r="B357" s="106"/>
      <c r="C357" s="107"/>
      <c r="D357" s="108"/>
      <c r="E357" s="109"/>
      <c r="F357" s="107"/>
      <c r="G357" s="110"/>
      <c r="H357" s="109"/>
      <c r="I357" s="9"/>
      <c r="J357" s="9"/>
      <c r="K357" s="9"/>
      <c r="L357" s="9"/>
      <c r="M357" s="9"/>
      <c r="N357" s="9"/>
      <c r="O357" s="9"/>
      <c r="P357" s="9"/>
      <c r="Q357" s="9"/>
      <c r="R357" s="9"/>
      <c r="S357" s="9"/>
      <c r="T357" s="9"/>
      <c r="U357" s="9"/>
      <c r="V357" s="9"/>
      <c r="W357" s="9"/>
      <c r="X357" s="9"/>
      <c r="Y357" s="9"/>
      <c r="Z357" s="9"/>
      <c r="AA357" s="9"/>
      <c r="AB357" s="9"/>
      <c r="AC357" s="9"/>
    </row>
    <row r="358" ht="15.75" customHeight="1">
      <c r="B358" s="106"/>
      <c r="C358" s="107"/>
      <c r="D358" s="108"/>
      <c r="E358" s="109"/>
      <c r="F358" s="107"/>
      <c r="G358" s="110"/>
      <c r="H358" s="109"/>
      <c r="I358" s="9"/>
      <c r="J358" s="9"/>
      <c r="K358" s="9"/>
      <c r="L358" s="9"/>
      <c r="M358" s="9"/>
      <c r="N358" s="9"/>
      <c r="O358" s="9"/>
      <c r="P358" s="9"/>
      <c r="Q358" s="9"/>
      <c r="R358" s="9"/>
      <c r="S358" s="9"/>
      <c r="T358" s="9"/>
      <c r="U358" s="9"/>
      <c r="V358" s="9"/>
      <c r="W358" s="9"/>
      <c r="X358" s="9"/>
      <c r="Y358" s="9"/>
      <c r="Z358" s="9"/>
      <c r="AA358" s="9"/>
      <c r="AB358" s="9"/>
      <c r="AC358" s="9"/>
    </row>
    <row r="359" ht="15.75" customHeight="1">
      <c r="B359" s="106"/>
      <c r="C359" s="107"/>
      <c r="D359" s="108"/>
      <c r="E359" s="109"/>
      <c r="F359" s="107"/>
      <c r="G359" s="110"/>
      <c r="H359" s="109"/>
      <c r="I359" s="9"/>
      <c r="J359" s="9"/>
      <c r="K359" s="9"/>
      <c r="L359" s="9"/>
      <c r="M359" s="9"/>
      <c r="N359" s="9"/>
      <c r="O359" s="9"/>
      <c r="P359" s="9"/>
      <c r="Q359" s="9"/>
      <c r="R359" s="9"/>
      <c r="S359" s="9"/>
      <c r="T359" s="9"/>
      <c r="U359" s="9"/>
      <c r="V359" s="9"/>
      <c r="W359" s="9"/>
      <c r="X359" s="9"/>
      <c r="Y359" s="9"/>
      <c r="Z359" s="9"/>
      <c r="AA359" s="9"/>
      <c r="AB359" s="9"/>
      <c r="AC359" s="9"/>
    </row>
    <row r="360" ht="15.75" customHeight="1">
      <c r="B360" s="106"/>
      <c r="C360" s="107"/>
      <c r="D360" s="108"/>
      <c r="E360" s="109"/>
      <c r="F360" s="107"/>
      <c r="G360" s="110"/>
      <c r="H360" s="109"/>
      <c r="I360" s="9"/>
      <c r="J360" s="9"/>
      <c r="K360" s="9"/>
      <c r="L360" s="9"/>
      <c r="M360" s="9"/>
      <c r="N360" s="9"/>
      <c r="O360" s="9"/>
      <c r="P360" s="9"/>
      <c r="Q360" s="9"/>
      <c r="R360" s="9"/>
      <c r="S360" s="9"/>
      <c r="T360" s="9"/>
      <c r="U360" s="9"/>
      <c r="V360" s="9"/>
      <c r="W360" s="9"/>
      <c r="X360" s="9"/>
      <c r="Y360" s="9"/>
      <c r="Z360" s="9"/>
      <c r="AA360" s="9"/>
      <c r="AB360" s="9"/>
      <c r="AC360" s="9"/>
    </row>
    <row r="361" ht="15.75" customHeight="1">
      <c r="B361" s="106"/>
      <c r="C361" s="107"/>
      <c r="D361" s="108"/>
      <c r="E361" s="109"/>
      <c r="F361" s="107"/>
      <c r="G361" s="110"/>
      <c r="H361" s="109"/>
      <c r="I361" s="9"/>
      <c r="J361" s="9"/>
      <c r="K361" s="9"/>
      <c r="L361" s="9"/>
      <c r="M361" s="9"/>
      <c r="N361" s="9"/>
      <c r="O361" s="9"/>
      <c r="P361" s="9"/>
      <c r="Q361" s="9"/>
      <c r="R361" s="9"/>
      <c r="S361" s="9"/>
      <c r="T361" s="9"/>
      <c r="U361" s="9"/>
      <c r="V361" s="9"/>
      <c r="W361" s="9"/>
      <c r="X361" s="9"/>
      <c r="Y361" s="9"/>
      <c r="Z361" s="9"/>
      <c r="AA361" s="9"/>
      <c r="AB361" s="9"/>
      <c r="AC361" s="9"/>
    </row>
    <row r="362" ht="15.75" customHeight="1">
      <c r="B362" s="106"/>
      <c r="C362" s="107"/>
      <c r="D362" s="108"/>
      <c r="E362" s="109"/>
      <c r="F362" s="107"/>
      <c r="G362" s="110"/>
      <c r="H362" s="109"/>
      <c r="I362" s="9"/>
      <c r="J362" s="9"/>
      <c r="K362" s="9"/>
      <c r="L362" s="9"/>
      <c r="M362" s="9"/>
      <c r="N362" s="9"/>
      <c r="O362" s="9"/>
      <c r="P362" s="9"/>
      <c r="Q362" s="9"/>
      <c r="R362" s="9"/>
      <c r="S362" s="9"/>
      <c r="T362" s="9"/>
      <c r="U362" s="9"/>
      <c r="V362" s="9"/>
      <c r="W362" s="9"/>
      <c r="X362" s="9"/>
      <c r="Y362" s="9"/>
      <c r="Z362" s="9"/>
      <c r="AA362" s="9"/>
      <c r="AB362" s="9"/>
      <c r="AC362" s="9"/>
    </row>
    <row r="363" ht="15.75" customHeight="1">
      <c r="B363" s="106"/>
      <c r="C363" s="107"/>
      <c r="D363" s="108"/>
      <c r="E363" s="109"/>
      <c r="F363" s="107"/>
      <c r="G363" s="110"/>
      <c r="H363" s="109"/>
      <c r="I363" s="9"/>
      <c r="J363" s="9"/>
      <c r="K363" s="9"/>
      <c r="L363" s="9"/>
      <c r="M363" s="9"/>
      <c r="N363" s="9"/>
      <c r="O363" s="9"/>
      <c r="P363" s="9"/>
      <c r="Q363" s="9"/>
      <c r="R363" s="9"/>
      <c r="S363" s="9"/>
      <c r="T363" s="9"/>
      <c r="U363" s="9"/>
      <c r="V363" s="9"/>
      <c r="W363" s="9"/>
      <c r="X363" s="9"/>
      <c r="Y363" s="9"/>
      <c r="Z363" s="9"/>
      <c r="AA363" s="9"/>
      <c r="AB363" s="9"/>
      <c r="AC363" s="9"/>
    </row>
    <row r="364" ht="15.75" customHeight="1">
      <c r="B364" s="106"/>
      <c r="C364" s="107"/>
      <c r="D364" s="108"/>
      <c r="E364" s="109"/>
      <c r="F364" s="107"/>
      <c r="G364" s="110"/>
      <c r="H364" s="109"/>
      <c r="I364" s="9"/>
      <c r="J364" s="9"/>
      <c r="K364" s="9"/>
      <c r="L364" s="9"/>
      <c r="M364" s="9"/>
      <c r="N364" s="9"/>
      <c r="O364" s="9"/>
      <c r="P364" s="9"/>
      <c r="Q364" s="9"/>
      <c r="R364" s="9"/>
      <c r="S364" s="9"/>
      <c r="T364" s="9"/>
      <c r="U364" s="9"/>
      <c r="V364" s="9"/>
      <c r="W364" s="9"/>
      <c r="X364" s="9"/>
      <c r="Y364" s="9"/>
      <c r="Z364" s="9"/>
      <c r="AA364" s="9"/>
      <c r="AB364" s="9"/>
      <c r="AC364" s="9"/>
    </row>
    <row r="365" ht="15.75" customHeight="1">
      <c r="B365" s="106"/>
      <c r="C365" s="107"/>
      <c r="D365" s="108"/>
      <c r="E365" s="109"/>
      <c r="F365" s="107"/>
      <c r="G365" s="110"/>
      <c r="H365" s="109"/>
      <c r="I365" s="9"/>
      <c r="J365" s="9"/>
      <c r="K365" s="9"/>
      <c r="L365" s="9"/>
      <c r="M365" s="9"/>
      <c r="N365" s="9"/>
      <c r="O365" s="9"/>
      <c r="P365" s="9"/>
      <c r="Q365" s="9"/>
      <c r="R365" s="9"/>
      <c r="S365" s="9"/>
      <c r="T365" s="9"/>
      <c r="U365" s="9"/>
      <c r="V365" s="9"/>
      <c r="W365" s="9"/>
      <c r="X365" s="9"/>
      <c r="Y365" s="9"/>
      <c r="Z365" s="9"/>
      <c r="AA365" s="9"/>
      <c r="AB365" s="9"/>
      <c r="AC365" s="9"/>
    </row>
    <row r="366" ht="15.75" customHeight="1">
      <c r="B366" s="106"/>
      <c r="C366" s="107"/>
      <c r="D366" s="108"/>
      <c r="E366" s="109"/>
      <c r="F366" s="107"/>
      <c r="G366" s="110"/>
      <c r="H366" s="109"/>
      <c r="I366" s="9"/>
      <c r="J366" s="9"/>
      <c r="K366" s="9"/>
      <c r="L366" s="9"/>
      <c r="M366" s="9"/>
      <c r="N366" s="9"/>
      <c r="O366" s="9"/>
      <c r="P366" s="9"/>
      <c r="Q366" s="9"/>
      <c r="R366" s="9"/>
      <c r="S366" s="9"/>
      <c r="T366" s="9"/>
      <c r="U366" s="9"/>
      <c r="V366" s="9"/>
      <c r="W366" s="9"/>
      <c r="X366" s="9"/>
      <c r="Y366" s="9"/>
      <c r="Z366" s="9"/>
      <c r="AA366" s="9"/>
      <c r="AB366" s="9"/>
      <c r="AC366" s="9"/>
    </row>
    <row r="367" ht="15.75" customHeight="1">
      <c r="B367" s="106"/>
      <c r="C367" s="107"/>
      <c r="D367" s="108"/>
      <c r="E367" s="109"/>
      <c r="F367" s="107"/>
      <c r="G367" s="110"/>
      <c r="H367" s="109"/>
      <c r="I367" s="9"/>
      <c r="J367" s="9"/>
      <c r="K367" s="9"/>
      <c r="L367" s="9"/>
      <c r="M367" s="9"/>
      <c r="N367" s="9"/>
      <c r="O367" s="9"/>
      <c r="P367" s="9"/>
      <c r="Q367" s="9"/>
      <c r="R367" s="9"/>
      <c r="S367" s="9"/>
      <c r="T367" s="9"/>
      <c r="U367" s="9"/>
      <c r="V367" s="9"/>
      <c r="W367" s="9"/>
      <c r="X367" s="9"/>
      <c r="Y367" s="9"/>
      <c r="Z367" s="9"/>
      <c r="AA367" s="9"/>
      <c r="AB367" s="9"/>
      <c r="AC367" s="9"/>
    </row>
    <row r="368" ht="15.75" customHeight="1">
      <c r="B368" s="106"/>
      <c r="C368" s="107"/>
      <c r="D368" s="108"/>
      <c r="E368" s="109"/>
      <c r="F368" s="107"/>
      <c r="G368" s="110"/>
      <c r="H368" s="109"/>
      <c r="I368" s="9"/>
      <c r="J368" s="9"/>
      <c r="K368" s="9"/>
      <c r="L368" s="9"/>
      <c r="M368" s="9"/>
      <c r="N368" s="9"/>
      <c r="O368" s="9"/>
      <c r="P368" s="9"/>
      <c r="Q368" s="9"/>
      <c r="R368" s="9"/>
      <c r="S368" s="9"/>
      <c r="T368" s="9"/>
      <c r="U368" s="9"/>
      <c r="V368" s="9"/>
      <c r="W368" s="9"/>
      <c r="X368" s="9"/>
      <c r="Y368" s="9"/>
      <c r="Z368" s="9"/>
      <c r="AA368" s="9"/>
      <c r="AB368" s="9"/>
      <c r="AC368" s="9"/>
    </row>
    <row r="369" ht="15.75" customHeight="1">
      <c r="B369" s="106"/>
      <c r="C369" s="107"/>
      <c r="D369" s="108"/>
      <c r="E369" s="109"/>
      <c r="F369" s="107"/>
      <c r="G369" s="110"/>
      <c r="H369" s="109"/>
      <c r="I369" s="9"/>
      <c r="J369" s="9"/>
      <c r="K369" s="9"/>
      <c r="L369" s="9"/>
      <c r="M369" s="9"/>
      <c r="N369" s="9"/>
      <c r="O369" s="9"/>
      <c r="P369" s="9"/>
      <c r="Q369" s="9"/>
      <c r="R369" s="9"/>
      <c r="S369" s="9"/>
      <c r="T369" s="9"/>
      <c r="U369" s="9"/>
      <c r="V369" s="9"/>
      <c r="W369" s="9"/>
      <c r="X369" s="9"/>
      <c r="Y369" s="9"/>
      <c r="Z369" s="9"/>
      <c r="AA369" s="9"/>
      <c r="AB369" s="9"/>
      <c r="AC369" s="9"/>
    </row>
    <row r="370" ht="15.75" customHeight="1">
      <c r="B370" s="106"/>
      <c r="C370" s="107"/>
      <c r="D370" s="108"/>
      <c r="E370" s="109"/>
      <c r="F370" s="107"/>
      <c r="G370" s="110"/>
      <c r="H370" s="109"/>
      <c r="I370" s="9"/>
      <c r="J370" s="9"/>
      <c r="K370" s="9"/>
      <c r="L370" s="9"/>
      <c r="M370" s="9"/>
      <c r="N370" s="9"/>
      <c r="O370" s="9"/>
      <c r="P370" s="9"/>
      <c r="Q370" s="9"/>
      <c r="R370" s="9"/>
      <c r="S370" s="9"/>
      <c r="T370" s="9"/>
      <c r="U370" s="9"/>
      <c r="V370" s="9"/>
      <c r="W370" s="9"/>
      <c r="X370" s="9"/>
      <c r="Y370" s="9"/>
      <c r="Z370" s="9"/>
      <c r="AA370" s="9"/>
      <c r="AB370" s="9"/>
      <c r="AC370" s="9"/>
    </row>
    <row r="371" ht="15.75" customHeight="1">
      <c r="B371" s="106"/>
      <c r="C371" s="107"/>
      <c r="D371" s="108"/>
      <c r="E371" s="109"/>
      <c r="F371" s="107"/>
      <c r="G371" s="110"/>
      <c r="H371" s="109"/>
      <c r="I371" s="9"/>
      <c r="J371" s="9"/>
      <c r="K371" s="9"/>
      <c r="L371" s="9"/>
      <c r="M371" s="9"/>
      <c r="N371" s="9"/>
      <c r="O371" s="9"/>
      <c r="P371" s="9"/>
      <c r="Q371" s="9"/>
      <c r="R371" s="9"/>
      <c r="S371" s="9"/>
      <c r="T371" s="9"/>
      <c r="U371" s="9"/>
      <c r="V371" s="9"/>
      <c r="W371" s="9"/>
      <c r="X371" s="9"/>
      <c r="Y371" s="9"/>
      <c r="Z371" s="9"/>
      <c r="AA371" s="9"/>
      <c r="AB371" s="9"/>
      <c r="AC371" s="9"/>
    </row>
    <row r="372" ht="15.75" customHeight="1">
      <c r="B372" s="106"/>
      <c r="C372" s="107"/>
      <c r="D372" s="108"/>
      <c r="E372" s="109"/>
      <c r="F372" s="107"/>
      <c r="G372" s="110"/>
      <c r="H372" s="109"/>
      <c r="I372" s="9"/>
      <c r="J372" s="9"/>
      <c r="K372" s="9"/>
      <c r="L372" s="9"/>
      <c r="M372" s="9"/>
      <c r="N372" s="9"/>
      <c r="O372" s="9"/>
      <c r="P372" s="9"/>
      <c r="Q372" s="9"/>
      <c r="R372" s="9"/>
      <c r="S372" s="9"/>
      <c r="T372" s="9"/>
      <c r="U372" s="9"/>
      <c r="V372" s="9"/>
      <c r="W372" s="9"/>
      <c r="X372" s="9"/>
      <c r="Y372" s="9"/>
      <c r="Z372" s="9"/>
      <c r="AA372" s="9"/>
      <c r="AB372" s="9"/>
      <c r="AC372" s="9"/>
    </row>
    <row r="373" ht="15.75" customHeight="1">
      <c r="B373" s="106"/>
      <c r="C373" s="107"/>
      <c r="D373" s="108"/>
      <c r="E373" s="109"/>
      <c r="F373" s="107"/>
      <c r="G373" s="110"/>
      <c r="H373" s="109"/>
      <c r="I373" s="9"/>
      <c r="J373" s="9"/>
      <c r="K373" s="9"/>
      <c r="L373" s="9"/>
      <c r="M373" s="9"/>
      <c r="N373" s="9"/>
      <c r="O373" s="9"/>
      <c r="P373" s="9"/>
      <c r="Q373" s="9"/>
      <c r="R373" s="9"/>
      <c r="S373" s="9"/>
      <c r="T373" s="9"/>
      <c r="U373" s="9"/>
      <c r="V373" s="9"/>
      <c r="W373" s="9"/>
      <c r="X373" s="9"/>
      <c r="Y373" s="9"/>
      <c r="Z373" s="9"/>
      <c r="AA373" s="9"/>
      <c r="AB373" s="9"/>
      <c r="AC373" s="9"/>
    </row>
    <row r="374" ht="15.75" customHeight="1">
      <c r="B374" s="106"/>
      <c r="C374" s="107"/>
      <c r="D374" s="108"/>
      <c r="E374" s="109"/>
      <c r="F374" s="107"/>
      <c r="G374" s="110"/>
      <c r="H374" s="109"/>
      <c r="I374" s="9"/>
      <c r="J374" s="9"/>
      <c r="K374" s="9"/>
      <c r="L374" s="9"/>
      <c r="M374" s="9"/>
      <c r="N374" s="9"/>
      <c r="O374" s="9"/>
      <c r="P374" s="9"/>
      <c r="Q374" s="9"/>
      <c r="R374" s="9"/>
      <c r="S374" s="9"/>
      <c r="T374" s="9"/>
      <c r="U374" s="9"/>
      <c r="V374" s="9"/>
      <c r="W374" s="9"/>
      <c r="X374" s="9"/>
      <c r="Y374" s="9"/>
      <c r="Z374" s="9"/>
      <c r="AA374" s="9"/>
      <c r="AB374" s="9"/>
      <c r="AC374" s="9"/>
    </row>
    <row r="375" ht="15.75" customHeight="1">
      <c r="B375" s="106"/>
      <c r="C375" s="107"/>
      <c r="D375" s="108"/>
      <c r="E375" s="109"/>
      <c r="F375" s="107"/>
      <c r="G375" s="110"/>
      <c r="H375" s="109"/>
      <c r="I375" s="9"/>
      <c r="J375" s="9"/>
      <c r="K375" s="9"/>
      <c r="L375" s="9"/>
      <c r="M375" s="9"/>
      <c r="N375" s="9"/>
      <c r="O375" s="9"/>
      <c r="P375" s="9"/>
      <c r="Q375" s="9"/>
      <c r="R375" s="9"/>
      <c r="S375" s="9"/>
      <c r="T375" s="9"/>
      <c r="U375" s="9"/>
      <c r="V375" s="9"/>
      <c r="W375" s="9"/>
      <c r="X375" s="9"/>
      <c r="Y375" s="9"/>
      <c r="Z375" s="9"/>
      <c r="AA375" s="9"/>
      <c r="AB375" s="9"/>
      <c r="AC375" s="9"/>
    </row>
    <row r="376" ht="15.75" customHeight="1">
      <c r="B376" s="106"/>
      <c r="C376" s="107"/>
      <c r="D376" s="108"/>
      <c r="E376" s="109"/>
      <c r="F376" s="107"/>
      <c r="G376" s="110"/>
      <c r="H376" s="109"/>
      <c r="I376" s="9"/>
      <c r="J376" s="9"/>
      <c r="K376" s="9"/>
      <c r="L376" s="9"/>
      <c r="M376" s="9"/>
      <c r="N376" s="9"/>
      <c r="O376" s="9"/>
      <c r="P376" s="9"/>
      <c r="Q376" s="9"/>
      <c r="R376" s="9"/>
      <c r="S376" s="9"/>
      <c r="T376" s="9"/>
      <c r="U376" s="9"/>
      <c r="V376" s="9"/>
      <c r="W376" s="9"/>
      <c r="X376" s="9"/>
      <c r="Y376" s="9"/>
      <c r="Z376" s="9"/>
      <c r="AA376" s="9"/>
      <c r="AB376" s="9"/>
      <c r="AC376" s="9"/>
    </row>
    <row r="377" ht="15.75" customHeight="1">
      <c r="B377" s="106"/>
      <c r="C377" s="107"/>
      <c r="D377" s="108"/>
      <c r="E377" s="109"/>
      <c r="F377" s="107"/>
      <c r="G377" s="110"/>
      <c r="H377" s="109"/>
      <c r="I377" s="9"/>
      <c r="J377" s="9"/>
      <c r="K377" s="9"/>
      <c r="L377" s="9"/>
      <c r="M377" s="9"/>
      <c r="N377" s="9"/>
      <c r="O377" s="9"/>
      <c r="P377" s="9"/>
      <c r="Q377" s="9"/>
      <c r="R377" s="9"/>
      <c r="S377" s="9"/>
      <c r="T377" s="9"/>
      <c r="U377" s="9"/>
      <c r="V377" s="9"/>
      <c r="W377" s="9"/>
      <c r="X377" s="9"/>
      <c r="Y377" s="9"/>
      <c r="Z377" s="9"/>
      <c r="AA377" s="9"/>
      <c r="AB377" s="9"/>
      <c r="AC377" s="9"/>
    </row>
    <row r="378" ht="15.75" customHeight="1">
      <c r="B378" s="106"/>
      <c r="C378" s="107"/>
      <c r="D378" s="108"/>
      <c r="E378" s="109"/>
      <c r="F378" s="107"/>
      <c r="G378" s="110"/>
      <c r="H378" s="109"/>
      <c r="I378" s="9"/>
      <c r="J378" s="9"/>
      <c r="K378" s="9"/>
      <c r="L378" s="9"/>
      <c r="M378" s="9"/>
      <c r="N378" s="9"/>
      <c r="O378" s="9"/>
      <c r="P378" s="9"/>
      <c r="Q378" s="9"/>
      <c r="R378" s="9"/>
      <c r="S378" s="9"/>
      <c r="T378" s="9"/>
      <c r="U378" s="9"/>
      <c r="V378" s="9"/>
      <c r="W378" s="9"/>
      <c r="X378" s="9"/>
      <c r="Y378" s="9"/>
      <c r="Z378" s="9"/>
      <c r="AA378" s="9"/>
      <c r="AB378" s="9"/>
      <c r="AC378" s="9"/>
    </row>
    <row r="379" ht="15.75" customHeight="1">
      <c r="B379" s="106"/>
      <c r="C379" s="107"/>
      <c r="D379" s="108"/>
      <c r="E379" s="109"/>
      <c r="F379" s="107"/>
      <c r="G379" s="110"/>
      <c r="H379" s="109"/>
      <c r="I379" s="9"/>
      <c r="J379" s="9"/>
      <c r="K379" s="9"/>
      <c r="L379" s="9"/>
      <c r="M379" s="9"/>
      <c r="N379" s="9"/>
      <c r="O379" s="9"/>
      <c r="P379" s="9"/>
      <c r="Q379" s="9"/>
      <c r="R379" s="9"/>
      <c r="S379" s="9"/>
      <c r="T379" s="9"/>
      <c r="U379" s="9"/>
      <c r="V379" s="9"/>
      <c r="W379" s="9"/>
      <c r="X379" s="9"/>
      <c r="Y379" s="9"/>
      <c r="Z379" s="9"/>
      <c r="AA379" s="9"/>
      <c r="AB379" s="9"/>
      <c r="AC379" s="9"/>
    </row>
    <row r="380" ht="15.75" customHeight="1">
      <c r="B380" s="106"/>
      <c r="C380" s="107"/>
      <c r="D380" s="108"/>
      <c r="E380" s="109"/>
      <c r="F380" s="107"/>
      <c r="G380" s="110"/>
      <c r="H380" s="109"/>
      <c r="I380" s="9"/>
      <c r="J380" s="9"/>
      <c r="K380" s="9"/>
      <c r="L380" s="9"/>
      <c r="M380" s="9"/>
      <c r="N380" s="9"/>
      <c r="O380" s="9"/>
      <c r="P380" s="9"/>
      <c r="Q380" s="9"/>
      <c r="R380" s="9"/>
      <c r="S380" s="9"/>
      <c r="T380" s="9"/>
      <c r="U380" s="9"/>
      <c r="V380" s="9"/>
      <c r="W380" s="9"/>
      <c r="X380" s="9"/>
      <c r="Y380" s="9"/>
      <c r="Z380" s="9"/>
      <c r="AA380" s="9"/>
      <c r="AB380" s="9"/>
      <c r="AC380" s="9"/>
    </row>
    <row r="381" ht="15.75" customHeight="1">
      <c r="B381" s="106"/>
      <c r="C381" s="107"/>
      <c r="D381" s="108"/>
      <c r="E381" s="109"/>
      <c r="F381" s="107"/>
      <c r="G381" s="110"/>
      <c r="H381" s="109"/>
      <c r="I381" s="9"/>
      <c r="J381" s="9"/>
      <c r="K381" s="9"/>
      <c r="L381" s="9"/>
      <c r="M381" s="9"/>
      <c r="N381" s="9"/>
      <c r="O381" s="9"/>
      <c r="P381" s="9"/>
      <c r="Q381" s="9"/>
      <c r="R381" s="9"/>
      <c r="S381" s="9"/>
      <c r="T381" s="9"/>
      <c r="U381" s="9"/>
      <c r="V381" s="9"/>
      <c r="W381" s="9"/>
      <c r="X381" s="9"/>
      <c r="Y381" s="9"/>
      <c r="Z381" s="9"/>
      <c r="AA381" s="9"/>
      <c r="AB381" s="9"/>
      <c r="AC381" s="9"/>
    </row>
    <row r="382" ht="15.75" customHeight="1">
      <c r="B382" s="106"/>
      <c r="C382" s="107"/>
      <c r="D382" s="108"/>
      <c r="E382" s="109"/>
      <c r="F382" s="107"/>
      <c r="G382" s="110"/>
      <c r="H382" s="109"/>
      <c r="I382" s="9"/>
      <c r="J382" s="9"/>
      <c r="K382" s="9"/>
      <c r="L382" s="9"/>
      <c r="M382" s="9"/>
      <c r="N382" s="9"/>
      <c r="O382" s="9"/>
      <c r="P382" s="9"/>
      <c r="Q382" s="9"/>
      <c r="R382" s="9"/>
      <c r="S382" s="9"/>
      <c r="T382" s="9"/>
      <c r="U382" s="9"/>
      <c r="V382" s="9"/>
      <c r="W382" s="9"/>
      <c r="X382" s="9"/>
      <c r="Y382" s="9"/>
      <c r="Z382" s="9"/>
      <c r="AA382" s="9"/>
      <c r="AB382" s="9"/>
      <c r="AC382" s="9"/>
    </row>
    <row r="383" ht="15.75" customHeight="1">
      <c r="B383" s="106"/>
      <c r="C383" s="107"/>
      <c r="D383" s="108"/>
      <c r="E383" s="109"/>
      <c r="F383" s="107"/>
      <c r="G383" s="110"/>
      <c r="H383" s="109"/>
      <c r="I383" s="9"/>
      <c r="J383" s="9"/>
      <c r="K383" s="9"/>
      <c r="L383" s="9"/>
      <c r="M383" s="9"/>
      <c r="N383" s="9"/>
      <c r="O383" s="9"/>
      <c r="P383" s="9"/>
      <c r="Q383" s="9"/>
      <c r="R383" s="9"/>
      <c r="S383" s="9"/>
      <c r="T383" s="9"/>
      <c r="U383" s="9"/>
      <c r="V383" s="9"/>
      <c r="W383" s="9"/>
      <c r="X383" s="9"/>
      <c r="Y383" s="9"/>
      <c r="Z383" s="9"/>
      <c r="AA383" s="9"/>
      <c r="AB383" s="9"/>
      <c r="AC383" s="9"/>
    </row>
    <row r="384" ht="15.75" customHeight="1">
      <c r="B384" s="106"/>
      <c r="C384" s="107"/>
      <c r="D384" s="108"/>
      <c r="E384" s="109"/>
      <c r="F384" s="107"/>
      <c r="G384" s="110"/>
      <c r="H384" s="109"/>
      <c r="I384" s="9"/>
      <c r="J384" s="9"/>
      <c r="K384" s="9"/>
      <c r="L384" s="9"/>
      <c r="M384" s="9"/>
      <c r="N384" s="9"/>
      <c r="O384" s="9"/>
      <c r="P384" s="9"/>
      <c r="Q384" s="9"/>
      <c r="R384" s="9"/>
      <c r="S384" s="9"/>
      <c r="T384" s="9"/>
      <c r="U384" s="9"/>
      <c r="V384" s="9"/>
      <c r="W384" s="9"/>
      <c r="X384" s="9"/>
      <c r="Y384" s="9"/>
      <c r="Z384" s="9"/>
      <c r="AA384" s="9"/>
      <c r="AB384" s="9"/>
      <c r="AC384" s="9"/>
    </row>
    <row r="385" ht="15.75" customHeight="1">
      <c r="B385" s="106"/>
      <c r="C385" s="107"/>
      <c r="D385" s="108"/>
      <c r="E385" s="109"/>
      <c r="F385" s="107"/>
      <c r="G385" s="110"/>
      <c r="H385" s="109"/>
      <c r="I385" s="9"/>
      <c r="J385" s="9"/>
      <c r="K385" s="9"/>
      <c r="L385" s="9"/>
      <c r="M385" s="9"/>
      <c r="N385" s="9"/>
      <c r="O385" s="9"/>
      <c r="P385" s="9"/>
      <c r="Q385" s="9"/>
      <c r="R385" s="9"/>
      <c r="S385" s="9"/>
      <c r="T385" s="9"/>
      <c r="U385" s="9"/>
      <c r="V385" s="9"/>
      <c r="W385" s="9"/>
      <c r="X385" s="9"/>
      <c r="Y385" s="9"/>
      <c r="Z385" s="9"/>
      <c r="AA385" s="9"/>
      <c r="AB385" s="9"/>
      <c r="AC385" s="9"/>
    </row>
    <row r="386" ht="15.75" customHeight="1">
      <c r="B386" s="106"/>
      <c r="C386" s="107"/>
      <c r="D386" s="108"/>
      <c r="E386" s="109"/>
      <c r="F386" s="107"/>
      <c r="G386" s="110"/>
      <c r="H386" s="109"/>
      <c r="I386" s="9"/>
      <c r="J386" s="9"/>
      <c r="K386" s="9"/>
      <c r="L386" s="9"/>
      <c r="M386" s="9"/>
      <c r="N386" s="9"/>
      <c r="O386" s="9"/>
      <c r="P386" s="9"/>
      <c r="Q386" s="9"/>
      <c r="R386" s="9"/>
      <c r="S386" s="9"/>
      <c r="T386" s="9"/>
      <c r="U386" s="9"/>
      <c r="V386" s="9"/>
      <c r="W386" s="9"/>
      <c r="X386" s="9"/>
      <c r="Y386" s="9"/>
      <c r="Z386" s="9"/>
      <c r="AA386" s="9"/>
      <c r="AB386" s="9"/>
      <c r="AC386" s="9"/>
    </row>
    <row r="387" ht="15.75" customHeight="1">
      <c r="B387" s="106"/>
      <c r="C387" s="107"/>
      <c r="D387" s="108"/>
      <c r="E387" s="109"/>
      <c r="F387" s="107"/>
      <c r="G387" s="110"/>
      <c r="H387" s="109"/>
      <c r="I387" s="9"/>
      <c r="J387" s="9"/>
      <c r="K387" s="9"/>
      <c r="L387" s="9"/>
      <c r="M387" s="9"/>
      <c r="N387" s="9"/>
      <c r="O387" s="9"/>
      <c r="P387" s="9"/>
      <c r="Q387" s="9"/>
      <c r="R387" s="9"/>
      <c r="S387" s="9"/>
      <c r="T387" s="9"/>
      <c r="U387" s="9"/>
      <c r="V387" s="9"/>
      <c r="W387" s="9"/>
      <c r="X387" s="9"/>
      <c r="Y387" s="9"/>
      <c r="Z387" s="9"/>
      <c r="AA387" s="9"/>
      <c r="AB387" s="9"/>
      <c r="AC387" s="9"/>
    </row>
    <row r="388" ht="15.75" customHeight="1">
      <c r="B388" s="106"/>
      <c r="C388" s="107"/>
      <c r="D388" s="108"/>
      <c r="E388" s="109"/>
      <c r="F388" s="107"/>
      <c r="G388" s="110"/>
      <c r="H388" s="109"/>
      <c r="I388" s="9"/>
      <c r="J388" s="9"/>
      <c r="K388" s="9"/>
      <c r="L388" s="9"/>
      <c r="M388" s="9"/>
      <c r="N388" s="9"/>
      <c r="O388" s="9"/>
      <c r="P388" s="9"/>
      <c r="Q388" s="9"/>
      <c r="R388" s="9"/>
      <c r="S388" s="9"/>
      <c r="T388" s="9"/>
      <c r="U388" s="9"/>
      <c r="V388" s="9"/>
      <c r="W388" s="9"/>
      <c r="X388" s="9"/>
      <c r="Y388" s="9"/>
      <c r="Z388" s="9"/>
      <c r="AA388" s="9"/>
      <c r="AB388" s="9"/>
      <c r="AC388" s="9"/>
    </row>
    <row r="389" ht="15.75" customHeight="1">
      <c r="B389" s="106"/>
      <c r="C389" s="107"/>
      <c r="D389" s="108"/>
      <c r="E389" s="109"/>
      <c r="F389" s="107"/>
      <c r="G389" s="110"/>
      <c r="H389" s="109"/>
      <c r="I389" s="9"/>
      <c r="J389" s="9"/>
      <c r="K389" s="9"/>
      <c r="L389" s="9"/>
      <c r="M389" s="9"/>
      <c r="N389" s="9"/>
      <c r="O389" s="9"/>
      <c r="P389" s="9"/>
      <c r="Q389" s="9"/>
      <c r="R389" s="9"/>
      <c r="S389" s="9"/>
      <c r="T389" s="9"/>
      <c r="U389" s="9"/>
      <c r="V389" s="9"/>
      <c r="W389" s="9"/>
      <c r="X389" s="9"/>
      <c r="Y389" s="9"/>
      <c r="Z389" s="9"/>
      <c r="AA389" s="9"/>
      <c r="AB389" s="9"/>
      <c r="AC389" s="9"/>
    </row>
    <row r="390" ht="15.75" customHeight="1">
      <c r="B390" s="106"/>
      <c r="C390" s="107"/>
      <c r="D390" s="108"/>
      <c r="E390" s="109"/>
      <c r="F390" s="107"/>
      <c r="G390" s="110"/>
      <c r="H390" s="109"/>
      <c r="I390" s="9"/>
      <c r="J390" s="9"/>
      <c r="K390" s="9"/>
      <c r="L390" s="9"/>
      <c r="M390" s="9"/>
      <c r="N390" s="9"/>
      <c r="O390" s="9"/>
      <c r="P390" s="9"/>
      <c r="Q390" s="9"/>
      <c r="R390" s="9"/>
      <c r="S390" s="9"/>
      <c r="T390" s="9"/>
      <c r="U390" s="9"/>
      <c r="V390" s="9"/>
      <c r="W390" s="9"/>
      <c r="X390" s="9"/>
      <c r="Y390" s="9"/>
      <c r="Z390" s="9"/>
      <c r="AA390" s="9"/>
      <c r="AB390" s="9"/>
      <c r="AC390" s="9"/>
    </row>
    <row r="391" ht="15.75" customHeight="1">
      <c r="B391" s="106"/>
      <c r="C391" s="107"/>
      <c r="D391" s="108"/>
      <c r="E391" s="109"/>
      <c r="F391" s="107"/>
      <c r="G391" s="110"/>
      <c r="H391" s="109"/>
      <c r="I391" s="9"/>
      <c r="J391" s="9"/>
      <c r="K391" s="9"/>
      <c r="L391" s="9"/>
      <c r="M391" s="9"/>
      <c r="N391" s="9"/>
      <c r="O391" s="9"/>
      <c r="P391" s="9"/>
      <c r="Q391" s="9"/>
      <c r="R391" s="9"/>
      <c r="S391" s="9"/>
      <c r="T391" s="9"/>
      <c r="U391" s="9"/>
      <c r="V391" s="9"/>
      <c r="W391" s="9"/>
      <c r="X391" s="9"/>
      <c r="Y391" s="9"/>
      <c r="Z391" s="9"/>
      <c r="AA391" s="9"/>
      <c r="AB391" s="9"/>
      <c r="AC391" s="9"/>
    </row>
    <row r="392" ht="15.75" customHeight="1">
      <c r="B392" s="106"/>
      <c r="C392" s="107"/>
      <c r="D392" s="108"/>
      <c r="E392" s="109"/>
      <c r="F392" s="107"/>
      <c r="G392" s="110"/>
      <c r="H392" s="109"/>
      <c r="I392" s="9"/>
      <c r="J392" s="9"/>
      <c r="K392" s="9"/>
      <c r="L392" s="9"/>
      <c r="M392" s="9"/>
      <c r="N392" s="9"/>
      <c r="O392" s="9"/>
      <c r="P392" s="9"/>
      <c r="Q392" s="9"/>
      <c r="R392" s="9"/>
      <c r="S392" s="9"/>
      <c r="T392" s="9"/>
      <c r="U392" s="9"/>
      <c r="V392" s="9"/>
      <c r="W392" s="9"/>
      <c r="X392" s="9"/>
      <c r="Y392" s="9"/>
      <c r="Z392" s="9"/>
      <c r="AA392" s="9"/>
      <c r="AB392" s="9"/>
      <c r="AC392" s="9"/>
    </row>
    <row r="393" ht="15.75" customHeight="1">
      <c r="B393" s="106"/>
      <c r="C393" s="107"/>
      <c r="D393" s="108"/>
      <c r="E393" s="109"/>
      <c r="F393" s="107"/>
      <c r="G393" s="110"/>
      <c r="H393" s="109"/>
      <c r="I393" s="9"/>
      <c r="J393" s="9"/>
      <c r="K393" s="9"/>
      <c r="L393" s="9"/>
      <c r="M393" s="9"/>
      <c r="N393" s="9"/>
      <c r="O393" s="9"/>
      <c r="P393" s="9"/>
      <c r="Q393" s="9"/>
      <c r="R393" s="9"/>
      <c r="S393" s="9"/>
      <c r="T393" s="9"/>
      <c r="U393" s="9"/>
      <c r="V393" s="9"/>
      <c r="W393" s="9"/>
      <c r="X393" s="9"/>
      <c r="Y393" s="9"/>
      <c r="Z393" s="9"/>
      <c r="AA393" s="9"/>
      <c r="AB393" s="9"/>
      <c r="AC393" s="9"/>
    </row>
    <row r="394" ht="15.75" customHeight="1">
      <c r="B394" s="106"/>
      <c r="C394" s="107"/>
      <c r="D394" s="108"/>
      <c r="E394" s="109"/>
      <c r="F394" s="107"/>
      <c r="G394" s="110"/>
      <c r="H394" s="109"/>
      <c r="I394" s="9"/>
      <c r="J394" s="9"/>
      <c r="K394" s="9"/>
      <c r="L394" s="9"/>
      <c r="M394" s="9"/>
      <c r="N394" s="9"/>
      <c r="O394" s="9"/>
      <c r="P394" s="9"/>
      <c r="Q394" s="9"/>
      <c r="R394" s="9"/>
      <c r="S394" s="9"/>
      <c r="T394" s="9"/>
      <c r="U394" s="9"/>
      <c r="V394" s="9"/>
      <c r="W394" s="9"/>
      <c r="X394" s="9"/>
      <c r="Y394" s="9"/>
      <c r="Z394" s="9"/>
      <c r="AA394" s="9"/>
      <c r="AB394" s="9"/>
      <c r="AC394" s="9"/>
    </row>
    <row r="395" ht="15.75" customHeight="1">
      <c r="B395" s="106"/>
      <c r="C395" s="107"/>
      <c r="D395" s="108"/>
      <c r="E395" s="109"/>
      <c r="F395" s="107"/>
      <c r="G395" s="110"/>
      <c r="H395" s="109"/>
      <c r="I395" s="9"/>
      <c r="J395" s="9"/>
      <c r="K395" s="9"/>
      <c r="L395" s="9"/>
      <c r="M395" s="9"/>
      <c r="N395" s="9"/>
      <c r="O395" s="9"/>
      <c r="P395" s="9"/>
      <c r="Q395" s="9"/>
      <c r="R395" s="9"/>
      <c r="S395" s="9"/>
      <c r="T395" s="9"/>
      <c r="U395" s="9"/>
      <c r="V395" s="9"/>
      <c r="W395" s="9"/>
      <c r="X395" s="9"/>
      <c r="Y395" s="9"/>
      <c r="Z395" s="9"/>
      <c r="AA395" s="9"/>
      <c r="AB395" s="9"/>
      <c r="AC395" s="9"/>
    </row>
    <row r="396" ht="15.75" customHeight="1">
      <c r="B396" s="106"/>
      <c r="C396" s="107"/>
      <c r="D396" s="108"/>
      <c r="E396" s="109"/>
      <c r="F396" s="107"/>
      <c r="G396" s="110"/>
      <c r="H396" s="109"/>
      <c r="I396" s="9"/>
      <c r="J396" s="9"/>
      <c r="K396" s="9"/>
      <c r="L396" s="9"/>
      <c r="M396" s="9"/>
      <c r="N396" s="9"/>
      <c r="O396" s="9"/>
      <c r="P396" s="9"/>
      <c r="Q396" s="9"/>
      <c r="R396" s="9"/>
      <c r="S396" s="9"/>
      <c r="T396" s="9"/>
      <c r="U396" s="9"/>
      <c r="V396" s="9"/>
      <c r="W396" s="9"/>
      <c r="X396" s="9"/>
      <c r="Y396" s="9"/>
      <c r="Z396" s="9"/>
      <c r="AA396" s="9"/>
      <c r="AB396" s="9"/>
      <c r="AC396" s="9"/>
    </row>
    <row r="397" ht="15.75" customHeight="1">
      <c r="B397" s="106"/>
      <c r="C397" s="107"/>
      <c r="D397" s="108"/>
      <c r="E397" s="109"/>
      <c r="F397" s="107"/>
      <c r="G397" s="110"/>
      <c r="H397" s="109"/>
      <c r="I397" s="9"/>
      <c r="J397" s="9"/>
      <c r="K397" s="9"/>
      <c r="L397" s="9"/>
      <c r="M397" s="9"/>
      <c r="N397" s="9"/>
      <c r="O397" s="9"/>
      <c r="P397" s="9"/>
      <c r="Q397" s="9"/>
      <c r="R397" s="9"/>
      <c r="S397" s="9"/>
      <c r="T397" s="9"/>
      <c r="U397" s="9"/>
      <c r="V397" s="9"/>
      <c r="W397" s="9"/>
      <c r="X397" s="9"/>
      <c r="Y397" s="9"/>
      <c r="Z397" s="9"/>
      <c r="AA397" s="9"/>
      <c r="AB397" s="9"/>
      <c r="AC397" s="9"/>
    </row>
    <row r="398" ht="15.75" customHeight="1">
      <c r="B398" s="106"/>
      <c r="C398" s="107"/>
      <c r="D398" s="108"/>
      <c r="E398" s="109"/>
      <c r="F398" s="107"/>
      <c r="G398" s="110"/>
      <c r="H398" s="109"/>
      <c r="I398" s="9"/>
      <c r="J398" s="9"/>
      <c r="K398" s="9"/>
      <c r="L398" s="9"/>
      <c r="M398" s="9"/>
      <c r="N398" s="9"/>
      <c r="O398" s="9"/>
      <c r="P398" s="9"/>
      <c r="Q398" s="9"/>
      <c r="R398" s="9"/>
      <c r="S398" s="9"/>
      <c r="T398" s="9"/>
      <c r="U398" s="9"/>
      <c r="V398" s="9"/>
      <c r="W398" s="9"/>
      <c r="X398" s="9"/>
      <c r="Y398" s="9"/>
      <c r="Z398" s="9"/>
      <c r="AA398" s="9"/>
      <c r="AB398" s="9"/>
      <c r="AC398" s="9"/>
    </row>
    <row r="399" ht="15.75" customHeight="1">
      <c r="B399" s="106"/>
      <c r="C399" s="107"/>
      <c r="D399" s="108"/>
      <c r="E399" s="109"/>
      <c r="F399" s="107"/>
      <c r="G399" s="110"/>
      <c r="H399" s="109"/>
      <c r="I399" s="9"/>
      <c r="J399" s="9"/>
      <c r="K399" s="9"/>
      <c r="L399" s="9"/>
      <c r="M399" s="9"/>
      <c r="N399" s="9"/>
      <c r="O399" s="9"/>
      <c r="P399" s="9"/>
      <c r="Q399" s="9"/>
      <c r="R399" s="9"/>
      <c r="S399" s="9"/>
      <c r="T399" s="9"/>
      <c r="U399" s="9"/>
      <c r="V399" s="9"/>
      <c r="W399" s="9"/>
      <c r="X399" s="9"/>
      <c r="Y399" s="9"/>
      <c r="Z399" s="9"/>
      <c r="AA399" s="9"/>
      <c r="AB399" s="9"/>
      <c r="AC399" s="9"/>
    </row>
    <row r="400" ht="15.75" customHeight="1">
      <c r="B400" s="106"/>
      <c r="C400" s="107"/>
      <c r="D400" s="108"/>
      <c r="E400" s="109"/>
      <c r="F400" s="107"/>
      <c r="G400" s="110"/>
      <c r="H400" s="109"/>
      <c r="I400" s="9"/>
      <c r="J400" s="9"/>
      <c r="K400" s="9"/>
      <c r="L400" s="9"/>
      <c r="M400" s="9"/>
      <c r="N400" s="9"/>
      <c r="O400" s="9"/>
      <c r="P400" s="9"/>
      <c r="Q400" s="9"/>
      <c r="R400" s="9"/>
      <c r="S400" s="9"/>
      <c r="T400" s="9"/>
      <c r="U400" s="9"/>
      <c r="V400" s="9"/>
      <c r="W400" s="9"/>
      <c r="X400" s="9"/>
      <c r="Y400" s="9"/>
      <c r="Z400" s="9"/>
      <c r="AA400" s="9"/>
      <c r="AB400" s="9"/>
      <c r="AC400" s="9"/>
    </row>
    <row r="401" ht="15.75" customHeight="1">
      <c r="B401" s="106"/>
      <c r="C401" s="107"/>
      <c r="D401" s="108"/>
      <c r="E401" s="109"/>
      <c r="F401" s="107"/>
      <c r="G401" s="110"/>
      <c r="H401" s="109"/>
      <c r="I401" s="9"/>
      <c r="J401" s="9"/>
      <c r="K401" s="9"/>
      <c r="L401" s="9"/>
      <c r="M401" s="9"/>
      <c r="N401" s="9"/>
      <c r="O401" s="9"/>
      <c r="P401" s="9"/>
      <c r="Q401" s="9"/>
      <c r="R401" s="9"/>
      <c r="S401" s="9"/>
      <c r="T401" s="9"/>
      <c r="U401" s="9"/>
      <c r="V401" s="9"/>
      <c r="W401" s="9"/>
      <c r="X401" s="9"/>
      <c r="Y401" s="9"/>
      <c r="Z401" s="9"/>
      <c r="AA401" s="9"/>
      <c r="AB401" s="9"/>
      <c r="AC401" s="9"/>
    </row>
    <row r="402" ht="15.75" customHeight="1">
      <c r="B402" s="106"/>
      <c r="C402" s="107"/>
      <c r="D402" s="108"/>
      <c r="E402" s="109"/>
      <c r="F402" s="107"/>
      <c r="G402" s="110"/>
      <c r="H402" s="109"/>
      <c r="I402" s="9"/>
      <c r="J402" s="9"/>
      <c r="K402" s="9"/>
      <c r="L402" s="9"/>
      <c r="M402" s="9"/>
      <c r="N402" s="9"/>
      <c r="O402" s="9"/>
      <c r="P402" s="9"/>
      <c r="Q402" s="9"/>
      <c r="R402" s="9"/>
      <c r="S402" s="9"/>
      <c r="T402" s="9"/>
      <c r="U402" s="9"/>
      <c r="V402" s="9"/>
      <c r="W402" s="9"/>
      <c r="X402" s="9"/>
      <c r="Y402" s="9"/>
      <c r="Z402" s="9"/>
      <c r="AA402" s="9"/>
      <c r="AB402" s="9"/>
      <c r="AC402" s="9"/>
    </row>
    <row r="403" ht="15.75" customHeight="1">
      <c r="B403" s="106"/>
      <c r="C403" s="107"/>
      <c r="D403" s="108"/>
      <c r="E403" s="109"/>
      <c r="F403" s="107"/>
      <c r="G403" s="110"/>
      <c r="H403" s="109"/>
      <c r="I403" s="9"/>
      <c r="J403" s="9"/>
      <c r="K403" s="9"/>
      <c r="L403" s="9"/>
      <c r="M403" s="9"/>
      <c r="N403" s="9"/>
      <c r="O403" s="9"/>
      <c r="P403" s="9"/>
      <c r="Q403" s="9"/>
      <c r="R403" s="9"/>
      <c r="S403" s="9"/>
      <c r="T403" s="9"/>
      <c r="U403" s="9"/>
      <c r="V403" s="9"/>
      <c r="W403" s="9"/>
      <c r="X403" s="9"/>
      <c r="Y403" s="9"/>
      <c r="Z403" s="9"/>
      <c r="AA403" s="9"/>
      <c r="AB403" s="9"/>
      <c r="AC403" s="9"/>
    </row>
    <row r="404" ht="15.75" customHeight="1">
      <c r="B404" s="106"/>
      <c r="C404" s="107"/>
      <c r="D404" s="108"/>
      <c r="E404" s="109"/>
      <c r="F404" s="107"/>
      <c r="G404" s="110"/>
      <c r="H404" s="109"/>
      <c r="I404" s="9"/>
      <c r="J404" s="9"/>
      <c r="K404" s="9"/>
      <c r="L404" s="9"/>
      <c r="M404" s="9"/>
      <c r="N404" s="9"/>
      <c r="O404" s="9"/>
      <c r="P404" s="9"/>
      <c r="Q404" s="9"/>
      <c r="R404" s="9"/>
      <c r="S404" s="9"/>
      <c r="T404" s="9"/>
      <c r="U404" s="9"/>
      <c r="V404" s="9"/>
      <c r="W404" s="9"/>
      <c r="X404" s="9"/>
      <c r="Y404" s="9"/>
      <c r="Z404" s="9"/>
      <c r="AA404" s="9"/>
      <c r="AB404" s="9"/>
      <c r="AC404" s="9"/>
    </row>
    <row r="405" ht="15.75" customHeight="1">
      <c r="B405" s="106"/>
      <c r="C405" s="107"/>
      <c r="D405" s="108"/>
      <c r="E405" s="109"/>
      <c r="F405" s="107"/>
      <c r="G405" s="110"/>
      <c r="H405" s="109"/>
      <c r="I405" s="9"/>
      <c r="J405" s="9"/>
      <c r="K405" s="9"/>
      <c r="L405" s="9"/>
      <c r="M405" s="9"/>
      <c r="N405" s="9"/>
      <c r="O405" s="9"/>
      <c r="P405" s="9"/>
      <c r="Q405" s="9"/>
      <c r="R405" s="9"/>
      <c r="S405" s="9"/>
      <c r="T405" s="9"/>
      <c r="U405" s="9"/>
      <c r="V405" s="9"/>
      <c r="W405" s="9"/>
      <c r="X405" s="9"/>
      <c r="Y405" s="9"/>
      <c r="Z405" s="9"/>
      <c r="AA405" s="9"/>
      <c r="AB405" s="9"/>
      <c r="AC405" s="9"/>
    </row>
    <row r="406" ht="15.75" customHeight="1">
      <c r="B406" s="106"/>
      <c r="C406" s="107"/>
      <c r="D406" s="108"/>
      <c r="E406" s="109"/>
      <c r="F406" s="107"/>
      <c r="G406" s="110"/>
      <c r="H406" s="109"/>
      <c r="I406" s="9"/>
      <c r="J406" s="9"/>
      <c r="K406" s="9"/>
      <c r="L406" s="9"/>
      <c r="M406" s="9"/>
      <c r="N406" s="9"/>
      <c r="O406" s="9"/>
      <c r="P406" s="9"/>
      <c r="Q406" s="9"/>
      <c r="R406" s="9"/>
      <c r="S406" s="9"/>
      <c r="T406" s="9"/>
      <c r="U406" s="9"/>
      <c r="V406" s="9"/>
      <c r="W406" s="9"/>
      <c r="X406" s="9"/>
      <c r="Y406" s="9"/>
      <c r="Z406" s="9"/>
      <c r="AA406" s="9"/>
      <c r="AB406" s="9"/>
      <c r="AC406" s="9"/>
    </row>
    <row r="407" ht="15.75" customHeight="1">
      <c r="B407" s="106"/>
      <c r="C407" s="107"/>
      <c r="D407" s="108"/>
      <c r="E407" s="109"/>
      <c r="F407" s="107"/>
      <c r="G407" s="110"/>
      <c r="H407" s="109"/>
      <c r="I407" s="9"/>
      <c r="J407" s="9"/>
      <c r="K407" s="9"/>
      <c r="L407" s="9"/>
      <c r="M407" s="9"/>
      <c r="N407" s="9"/>
      <c r="O407" s="9"/>
      <c r="P407" s="9"/>
      <c r="Q407" s="9"/>
      <c r="R407" s="9"/>
      <c r="S407" s="9"/>
      <c r="T407" s="9"/>
      <c r="U407" s="9"/>
      <c r="V407" s="9"/>
      <c r="W407" s="9"/>
      <c r="X407" s="9"/>
      <c r="Y407" s="9"/>
      <c r="Z407" s="9"/>
      <c r="AA407" s="9"/>
      <c r="AB407" s="9"/>
      <c r="AC407" s="9"/>
    </row>
    <row r="408" ht="15.75" customHeight="1">
      <c r="B408" s="106"/>
      <c r="C408" s="107"/>
      <c r="D408" s="108"/>
      <c r="E408" s="109"/>
      <c r="F408" s="107"/>
      <c r="G408" s="110"/>
      <c r="H408" s="109"/>
      <c r="I408" s="9"/>
      <c r="J408" s="9"/>
      <c r="K408" s="9"/>
      <c r="L408" s="9"/>
      <c r="M408" s="9"/>
      <c r="N408" s="9"/>
      <c r="O408" s="9"/>
      <c r="P408" s="9"/>
      <c r="Q408" s="9"/>
      <c r="R408" s="9"/>
      <c r="S408" s="9"/>
      <c r="T408" s="9"/>
      <c r="U408" s="9"/>
      <c r="V408" s="9"/>
      <c r="W408" s="9"/>
      <c r="X408" s="9"/>
      <c r="Y408" s="9"/>
      <c r="Z408" s="9"/>
      <c r="AA408" s="9"/>
      <c r="AB408" s="9"/>
      <c r="AC408" s="9"/>
    </row>
    <row r="409" ht="15.75" customHeight="1">
      <c r="B409" s="106"/>
      <c r="C409" s="107"/>
      <c r="D409" s="108"/>
      <c r="E409" s="109"/>
      <c r="F409" s="107"/>
      <c r="G409" s="110"/>
      <c r="H409" s="109"/>
      <c r="I409" s="9"/>
      <c r="J409" s="9"/>
      <c r="K409" s="9"/>
      <c r="L409" s="9"/>
      <c r="M409" s="9"/>
      <c r="N409" s="9"/>
      <c r="O409" s="9"/>
      <c r="P409" s="9"/>
      <c r="Q409" s="9"/>
      <c r="R409" s="9"/>
      <c r="S409" s="9"/>
      <c r="T409" s="9"/>
      <c r="U409" s="9"/>
      <c r="V409" s="9"/>
      <c r="W409" s="9"/>
      <c r="X409" s="9"/>
      <c r="Y409" s="9"/>
      <c r="Z409" s="9"/>
      <c r="AA409" s="9"/>
      <c r="AB409" s="9"/>
      <c r="AC409" s="9"/>
    </row>
    <row r="410" ht="15.75" customHeight="1">
      <c r="B410" s="106"/>
      <c r="C410" s="107"/>
      <c r="D410" s="108"/>
      <c r="E410" s="109"/>
      <c r="F410" s="107"/>
      <c r="G410" s="110"/>
      <c r="H410" s="109"/>
      <c r="I410" s="9"/>
      <c r="J410" s="9"/>
      <c r="K410" s="9"/>
      <c r="L410" s="9"/>
      <c r="M410" s="9"/>
      <c r="N410" s="9"/>
      <c r="O410" s="9"/>
      <c r="P410" s="9"/>
      <c r="Q410" s="9"/>
      <c r="R410" s="9"/>
      <c r="S410" s="9"/>
      <c r="T410" s="9"/>
      <c r="U410" s="9"/>
      <c r="V410" s="9"/>
      <c r="W410" s="9"/>
      <c r="X410" s="9"/>
      <c r="Y410" s="9"/>
      <c r="Z410" s="9"/>
      <c r="AA410" s="9"/>
      <c r="AB410" s="9"/>
      <c r="AC410" s="9"/>
    </row>
    <row r="411" ht="15.75" customHeight="1">
      <c r="B411" s="106"/>
      <c r="C411" s="107"/>
      <c r="D411" s="108"/>
      <c r="E411" s="109"/>
      <c r="F411" s="107"/>
      <c r="G411" s="110"/>
      <c r="H411" s="109"/>
      <c r="I411" s="9"/>
      <c r="J411" s="9"/>
      <c r="K411" s="9"/>
      <c r="L411" s="9"/>
      <c r="M411" s="9"/>
      <c r="N411" s="9"/>
      <c r="O411" s="9"/>
      <c r="P411" s="9"/>
      <c r="Q411" s="9"/>
      <c r="R411" s="9"/>
      <c r="S411" s="9"/>
      <c r="T411" s="9"/>
      <c r="U411" s="9"/>
      <c r="V411" s="9"/>
      <c r="W411" s="9"/>
      <c r="X411" s="9"/>
      <c r="Y411" s="9"/>
      <c r="Z411" s="9"/>
      <c r="AA411" s="9"/>
      <c r="AB411" s="9"/>
      <c r="AC411" s="9"/>
    </row>
    <row r="412" ht="15.75" customHeight="1">
      <c r="B412" s="106"/>
      <c r="C412" s="107"/>
      <c r="D412" s="108"/>
      <c r="E412" s="109"/>
      <c r="F412" s="107"/>
      <c r="G412" s="110"/>
      <c r="H412" s="109"/>
      <c r="I412" s="9"/>
      <c r="J412" s="9"/>
      <c r="K412" s="9"/>
      <c r="L412" s="9"/>
      <c r="M412" s="9"/>
      <c r="N412" s="9"/>
      <c r="O412" s="9"/>
      <c r="P412" s="9"/>
      <c r="Q412" s="9"/>
      <c r="R412" s="9"/>
      <c r="S412" s="9"/>
      <c r="T412" s="9"/>
      <c r="U412" s="9"/>
      <c r="V412" s="9"/>
      <c r="W412" s="9"/>
      <c r="X412" s="9"/>
      <c r="Y412" s="9"/>
      <c r="Z412" s="9"/>
      <c r="AA412" s="9"/>
      <c r="AB412" s="9"/>
      <c r="AC412" s="9"/>
    </row>
    <row r="413" ht="15.75" customHeight="1">
      <c r="B413" s="106"/>
      <c r="C413" s="107"/>
      <c r="D413" s="108"/>
      <c r="E413" s="109"/>
      <c r="F413" s="107"/>
      <c r="G413" s="110"/>
      <c r="H413" s="109"/>
      <c r="I413" s="9"/>
      <c r="J413" s="9"/>
      <c r="K413" s="9"/>
      <c r="L413" s="9"/>
      <c r="M413" s="9"/>
      <c r="N413" s="9"/>
      <c r="O413" s="9"/>
      <c r="P413" s="9"/>
      <c r="Q413" s="9"/>
      <c r="R413" s="9"/>
      <c r="S413" s="9"/>
      <c r="T413" s="9"/>
      <c r="U413" s="9"/>
      <c r="V413" s="9"/>
      <c r="W413" s="9"/>
      <c r="X413" s="9"/>
      <c r="Y413" s="9"/>
      <c r="Z413" s="9"/>
      <c r="AA413" s="9"/>
      <c r="AB413" s="9"/>
      <c r="AC413" s="9"/>
    </row>
    <row r="414" ht="15.75" customHeight="1">
      <c r="B414" s="106"/>
      <c r="C414" s="107"/>
      <c r="D414" s="108"/>
      <c r="E414" s="109"/>
      <c r="F414" s="107"/>
      <c r="G414" s="110"/>
      <c r="H414" s="109"/>
      <c r="I414" s="9"/>
      <c r="J414" s="9"/>
      <c r="K414" s="9"/>
      <c r="L414" s="9"/>
      <c r="M414" s="9"/>
      <c r="N414" s="9"/>
      <c r="O414" s="9"/>
      <c r="P414" s="9"/>
      <c r="Q414" s="9"/>
      <c r="R414" s="9"/>
      <c r="S414" s="9"/>
      <c r="T414" s="9"/>
      <c r="U414" s="9"/>
      <c r="V414" s="9"/>
      <c r="W414" s="9"/>
      <c r="X414" s="9"/>
      <c r="Y414" s="9"/>
      <c r="Z414" s="9"/>
      <c r="AA414" s="9"/>
      <c r="AB414" s="9"/>
      <c r="AC414" s="9"/>
    </row>
    <row r="415" ht="15.75" customHeight="1">
      <c r="B415" s="106"/>
      <c r="C415" s="107"/>
      <c r="D415" s="108"/>
      <c r="E415" s="109"/>
      <c r="F415" s="107"/>
      <c r="G415" s="110"/>
      <c r="H415" s="109"/>
      <c r="I415" s="9"/>
      <c r="J415" s="9"/>
      <c r="K415" s="9"/>
      <c r="L415" s="9"/>
      <c r="M415" s="9"/>
      <c r="N415" s="9"/>
      <c r="O415" s="9"/>
      <c r="P415" s="9"/>
      <c r="Q415" s="9"/>
      <c r="R415" s="9"/>
      <c r="S415" s="9"/>
      <c r="T415" s="9"/>
      <c r="U415" s="9"/>
      <c r="V415" s="9"/>
      <c r="W415" s="9"/>
      <c r="X415" s="9"/>
      <c r="Y415" s="9"/>
      <c r="Z415" s="9"/>
      <c r="AA415" s="9"/>
      <c r="AB415" s="9"/>
      <c r="AC415" s="9"/>
    </row>
    <row r="416" ht="15.75" customHeight="1">
      <c r="B416" s="106"/>
      <c r="C416" s="107"/>
      <c r="D416" s="108"/>
      <c r="E416" s="109"/>
      <c r="F416" s="107"/>
      <c r="G416" s="110"/>
      <c r="H416" s="109"/>
      <c r="I416" s="9"/>
      <c r="J416" s="9"/>
      <c r="K416" s="9"/>
      <c r="L416" s="9"/>
      <c r="M416" s="9"/>
      <c r="N416" s="9"/>
      <c r="O416" s="9"/>
      <c r="P416" s="9"/>
      <c r="Q416" s="9"/>
      <c r="R416" s="9"/>
      <c r="S416" s="9"/>
      <c r="T416" s="9"/>
      <c r="U416" s="9"/>
      <c r="V416" s="9"/>
      <c r="W416" s="9"/>
      <c r="X416" s="9"/>
      <c r="Y416" s="9"/>
      <c r="Z416" s="9"/>
      <c r="AA416" s="9"/>
      <c r="AB416" s="9"/>
      <c r="AC416" s="9"/>
    </row>
    <row r="417" ht="15.75" customHeight="1">
      <c r="B417" s="106"/>
      <c r="C417" s="107"/>
      <c r="D417" s="108"/>
      <c r="E417" s="109"/>
      <c r="F417" s="107"/>
      <c r="G417" s="110"/>
      <c r="H417" s="109"/>
      <c r="I417" s="9"/>
      <c r="J417" s="9"/>
      <c r="K417" s="9"/>
      <c r="L417" s="9"/>
      <c r="M417" s="9"/>
      <c r="N417" s="9"/>
      <c r="O417" s="9"/>
      <c r="P417" s="9"/>
      <c r="Q417" s="9"/>
      <c r="R417" s="9"/>
      <c r="S417" s="9"/>
      <c r="T417" s="9"/>
      <c r="U417" s="9"/>
      <c r="V417" s="9"/>
      <c r="W417" s="9"/>
      <c r="X417" s="9"/>
      <c r="Y417" s="9"/>
      <c r="Z417" s="9"/>
      <c r="AA417" s="9"/>
      <c r="AB417" s="9"/>
      <c r="AC417" s="9"/>
    </row>
    <row r="418" ht="15.75" customHeight="1">
      <c r="B418" s="106"/>
      <c r="C418" s="107"/>
      <c r="D418" s="108"/>
      <c r="E418" s="109"/>
      <c r="F418" s="107"/>
      <c r="G418" s="110"/>
      <c r="H418" s="109"/>
      <c r="I418" s="9"/>
      <c r="J418" s="9"/>
      <c r="K418" s="9"/>
      <c r="L418" s="9"/>
      <c r="M418" s="9"/>
      <c r="N418" s="9"/>
      <c r="O418" s="9"/>
      <c r="P418" s="9"/>
      <c r="Q418" s="9"/>
      <c r="R418" s="9"/>
      <c r="S418" s="9"/>
      <c r="T418" s="9"/>
      <c r="U418" s="9"/>
      <c r="V418" s="9"/>
      <c r="W418" s="9"/>
      <c r="X418" s="9"/>
      <c r="Y418" s="9"/>
      <c r="Z418" s="9"/>
      <c r="AA418" s="9"/>
      <c r="AB418" s="9"/>
      <c r="AC418" s="9"/>
    </row>
    <row r="419" ht="15.75" customHeight="1">
      <c r="B419" s="106"/>
      <c r="C419" s="107"/>
      <c r="D419" s="108"/>
      <c r="E419" s="109"/>
      <c r="F419" s="107"/>
      <c r="G419" s="110"/>
      <c r="H419" s="109"/>
      <c r="I419" s="9"/>
      <c r="J419" s="9"/>
      <c r="K419" s="9"/>
      <c r="L419" s="9"/>
      <c r="M419" s="9"/>
      <c r="N419" s="9"/>
      <c r="O419" s="9"/>
      <c r="P419" s="9"/>
      <c r="Q419" s="9"/>
      <c r="R419" s="9"/>
      <c r="S419" s="9"/>
      <c r="T419" s="9"/>
      <c r="U419" s="9"/>
      <c r="V419" s="9"/>
      <c r="W419" s="9"/>
      <c r="X419" s="9"/>
      <c r="Y419" s="9"/>
      <c r="Z419" s="9"/>
      <c r="AA419" s="9"/>
      <c r="AB419" s="9"/>
      <c r="AC419" s="9"/>
    </row>
    <row r="420" ht="15.75" customHeight="1">
      <c r="B420" s="106"/>
      <c r="C420" s="107"/>
      <c r="D420" s="108"/>
      <c r="E420" s="109"/>
      <c r="F420" s="107"/>
      <c r="G420" s="110"/>
      <c r="H420" s="109"/>
      <c r="I420" s="9"/>
      <c r="J420" s="9"/>
      <c r="K420" s="9"/>
      <c r="L420" s="9"/>
      <c r="M420" s="9"/>
      <c r="N420" s="9"/>
      <c r="O420" s="9"/>
      <c r="P420" s="9"/>
      <c r="Q420" s="9"/>
      <c r="R420" s="9"/>
      <c r="S420" s="9"/>
      <c r="T420" s="9"/>
      <c r="U420" s="9"/>
      <c r="V420" s="9"/>
      <c r="W420" s="9"/>
      <c r="X420" s="9"/>
      <c r="Y420" s="9"/>
      <c r="Z420" s="9"/>
      <c r="AA420" s="9"/>
      <c r="AB420" s="9"/>
      <c r="AC420" s="9"/>
    </row>
    <row r="421" ht="15.75" customHeight="1">
      <c r="B421" s="106"/>
      <c r="C421" s="107"/>
      <c r="D421" s="108"/>
      <c r="E421" s="109"/>
      <c r="F421" s="107"/>
      <c r="G421" s="110"/>
      <c r="H421" s="109"/>
      <c r="I421" s="9"/>
      <c r="J421" s="9"/>
      <c r="K421" s="9"/>
      <c r="L421" s="9"/>
      <c r="M421" s="9"/>
      <c r="N421" s="9"/>
      <c r="O421" s="9"/>
      <c r="P421" s="9"/>
      <c r="Q421" s="9"/>
      <c r="R421" s="9"/>
      <c r="S421" s="9"/>
      <c r="T421" s="9"/>
      <c r="U421" s="9"/>
      <c r="V421" s="9"/>
      <c r="W421" s="9"/>
      <c r="X421" s="9"/>
      <c r="Y421" s="9"/>
      <c r="Z421" s="9"/>
      <c r="AA421" s="9"/>
      <c r="AB421" s="9"/>
      <c r="AC421" s="9"/>
    </row>
    <row r="422" ht="15.75" customHeight="1">
      <c r="B422" s="106"/>
      <c r="C422" s="107"/>
      <c r="D422" s="108"/>
      <c r="E422" s="109"/>
      <c r="F422" s="107"/>
      <c r="G422" s="110"/>
      <c r="H422" s="109"/>
      <c r="I422" s="9"/>
      <c r="J422" s="9"/>
      <c r="K422" s="9"/>
      <c r="L422" s="9"/>
      <c r="M422" s="9"/>
      <c r="N422" s="9"/>
      <c r="O422" s="9"/>
      <c r="P422" s="9"/>
      <c r="Q422" s="9"/>
      <c r="R422" s="9"/>
      <c r="S422" s="9"/>
      <c r="T422" s="9"/>
      <c r="U422" s="9"/>
      <c r="V422" s="9"/>
      <c r="W422" s="9"/>
      <c r="X422" s="9"/>
      <c r="Y422" s="9"/>
      <c r="Z422" s="9"/>
      <c r="AA422" s="9"/>
      <c r="AB422" s="9"/>
      <c r="AC422" s="9"/>
    </row>
    <row r="423" ht="15.75" customHeight="1">
      <c r="B423" s="106"/>
      <c r="C423" s="107"/>
      <c r="D423" s="108"/>
      <c r="E423" s="109"/>
      <c r="F423" s="107"/>
      <c r="G423" s="110"/>
      <c r="H423" s="109"/>
      <c r="I423" s="9"/>
      <c r="J423" s="9"/>
      <c r="K423" s="9"/>
      <c r="L423" s="9"/>
      <c r="M423" s="9"/>
      <c r="N423" s="9"/>
      <c r="O423" s="9"/>
      <c r="P423" s="9"/>
      <c r="Q423" s="9"/>
      <c r="R423" s="9"/>
      <c r="S423" s="9"/>
      <c r="T423" s="9"/>
      <c r="U423" s="9"/>
      <c r="V423" s="9"/>
      <c r="W423" s="9"/>
      <c r="X423" s="9"/>
      <c r="Y423" s="9"/>
      <c r="Z423" s="9"/>
      <c r="AA423" s="9"/>
      <c r="AB423" s="9"/>
      <c r="AC423" s="9"/>
    </row>
    <row r="424" ht="15.75" customHeight="1">
      <c r="B424" s="106"/>
      <c r="C424" s="107"/>
      <c r="D424" s="108"/>
      <c r="E424" s="109"/>
      <c r="F424" s="107"/>
      <c r="G424" s="110"/>
      <c r="H424" s="109"/>
      <c r="I424" s="9"/>
      <c r="J424" s="9"/>
      <c r="K424" s="9"/>
      <c r="L424" s="9"/>
      <c r="M424" s="9"/>
      <c r="N424" s="9"/>
      <c r="O424" s="9"/>
      <c r="P424" s="9"/>
      <c r="Q424" s="9"/>
      <c r="R424" s="9"/>
      <c r="S424" s="9"/>
      <c r="T424" s="9"/>
      <c r="U424" s="9"/>
      <c r="V424" s="9"/>
      <c r="W424" s="9"/>
      <c r="X424" s="9"/>
      <c r="Y424" s="9"/>
      <c r="Z424" s="9"/>
      <c r="AA424" s="9"/>
      <c r="AB424" s="9"/>
      <c r="AC424" s="9"/>
    </row>
    <row r="425" ht="15.75" customHeight="1">
      <c r="B425" s="106"/>
      <c r="C425" s="107"/>
      <c r="D425" s="108"/>
      <c r="E425" s="109"/>
      <c r="F425" s="107"/>
      <c r="G425" s="110"/>
      <c r="H425" s="109"/>
      <c r="I425" s="9"/>
      <c r="J425" s="9"/>
      <c r="K425" s="9"/>
      <c r="L425" s="9"/>
      <c r="M425" s="9"/>
      <c r="N425" s="9"/>
      <c r="O425" s="9"/>
      <c r="P425" s="9"/>
      <c r="Q425" s="9"/>
      <c r="R425" s="9"/>
      <c r="S425" s="9"/>
      <c r="T425" s="9"/>
      <c r="U425" s="9"/>
      <c r="V425" s="9"/>
      <c r="W425" s="9"/>
      <c r="X425" s="9"/>
      <c r="Y425" s="9"/>
      <c r="Z425" s="9"/>
      <c r="AA425" s="9"/>
      <c r="AB425" s="9"/>
      <c r="AC425" s="9"/>
    </row>
    <row r="426" ht="15.75" customHeight="1">
      <c r="B426" s="106"/>
      <c r="C426" s="107"/>
      <c r="D426" s="108"/>
      <c r="E426" s="109"/>
      <c r="F426" s="107"/>
      <c r="G426" s="110"/>
      <c r="H426" s="109"/>
      <c r="I426" s="9"/>
      <c r="J426" s="9"/>
      <c r="K426" s="9"/>
      <c r="L426" s="9"/>
      <c r="M426" s="9"/>
      <c r="N426" s="9"/>
      <c r="O426" s="9"/>
      <c r="P426" s="9"/>
      <c r="Q426" s="9"/>
      <c r="R426" s="9"/>
      <c r="S426" s="9"/>
      <c r="T426" s="9"/>
      <c r="U426" s="9"/>
      <c r="V426" s="9"/>
      <c r="W426" s="9"/>
      <c r="X426" s="9"/>
      <c r="Y426" s="9"/>
      <c r="Z426" s="9"/>
      <c r="AA426" s="9"/>
      <c r="AB426" s="9"/>
      <c r="AC426" s="9"/>
    </row>
    <row r="427" ht="15.75" customHeight="1">
      <c r="B427" s="106"/>
      <c r="C427" s="107"/>
      <c r="D427" s="108"/>
      <c r="E427" s="109"/>
      <c r="F427" s="107"/>
      <c r="G427" s="110"/>
      <c r="H427" s="109"/>
      <c r="I427" s="9"/>
      <c r="J427" s="9"/>
      <c r="K427" s="9"/>
      <c r="L427" s="9"/>
      <c r="M427" s="9"/>
      <c r="N427" s="9"/>
      <c r="O427" s="9"/>
      <c r="P427" s="9"/>
      <c r="Q427" s="9"/>
      <c r="R427" s="9"/>
      <c r="S427" s="9"/>
      <c r="T427" s="9"/>
      <c r="U427" s="9"/>
      <c r="V427" s="9"/>
      <c r="W427" s="9"/>
      <c r="X427" s="9"/>
      <c r="Y427" s="9"/>
      <c r="Z427" s="9"/>
      <c r="AA427" s="9"/>
      <c r="AB427" s="9"/>
      <c r="AC427" s="9"/>
    </row>
    <row r="428" ht="15.75" customHeight="1">
      <c r="B428" s="106"/>
      <c r="C428" s="107"/>
      <c r="D428" s="108"/>
      <c r="E428" s="109"/>
      <c r="F428" s="107"/>
      <c r="G428" s="110"/>
      <c r="H428" s="109"/>
      <c r="I428" s="9"/>
      <c r="J428" s="9"/>
      <c r="K428" s="9"/>
      <c r="L428" s="9"/>
      <c r="M428" s="9"/>
      <c r="N428" s="9"/>
      <c r="O428" s="9"/>
      <c r="P428" s="9"/>
      <c r="Q428" s="9"/>
      <c r="R428" s="9"/>
      <c r="S428" s="9"/>
      <c r="T428" s="9"/>
      <c r="U428" s="9"/>
      <c r="V428" s="9"/>
      <c r="W428" s="9"/>
      <c r="X428" s="9"/>
      <c r="Y428" s="9"/>
      <c r="Z428" s="9"/>
      <c r="AA428" s="9"/>
      <c r="AB428" s="9"/>
      <c r="AC428" s="9"/>
    </row>
    <row r="429" ht="15.75" customHeight="1">
      <c r="B429" s="106"/>
      <c r="C429" s="107"/>
      <c r="D429" s="108"/>
      <c r="E429" s="109"/>
      <c r="F429" s="107"/>
      <c r="G429" s="110"/>
      <c r="H429" s="109"/>
      <c r="I429" s="9"/>
      <c r="J429" s="9"/>
      <c r="K429" s="9"/>
      <c r="L429" s="9"/>
      <c r="M429" s="9"/>
      <c r="N429" s="9"/>
      <c r="O429" s="9"/>
      <c r="P429" s="9"/>
      <c r="Q429" s="9"/>
      <c r="R429" s="9"/>
      <c r="S429" s="9"/>
      <c r="T429" s="9"/>
      <c r="U429" s="9"/>
      <c r="V429" s="9"/>
      <c r="W429" s="9"/>
      <c r="X429" s="9"/>
      <c r="Y429" s="9"/>
      <c r="Z429" s="9"/>
      <c r="AA429" s="9"/>
      <c r="AB429" s="9"/>
      <c r="AC429" s="9"/>
    </row>
    <row r="430" ht="15.75" customHeight="1">
      <c r="B430" s="106"/>
      <c r="C430" s="107"/>
      <c r="D430" s="108"/>
      <c r="E430" s="109"/>
      <c r="F430" s="107"/>
      <c r="G430" s="110"/>
      <c r="H430" s="109"/>
      <c r="I430" s="9"/>
      <c r="J430" s="9"/>
      <c r="K430" s="9"/>
      <c r="L430" s="9"/>
      <c r="M430" s="9"/>
      <c r="N430" s="9"/>
      <c r="O430" s="9"/>
      <c r="P430" s="9"/>
      <c r="Q430" s="9"/>
      <c r="R430" s="9"/>
      <c r="S430" s="9"/>
      <c r="T430" s="9"/>
      <c r="U430" s="9"/>
      <c r="V430" s="9"/>
      <c r="W430" s="9"/>
      <c r="X430" s="9"/>
      <c r="Y430" s="9"/>
      <c r="Z430" s="9"/>
      <c r="AA430" s="9"/>
      <c r="AB430" s="9"/>
      <c r="AC430" s="9"/>
    </row>
    <row r="431" ht="15.75" customHeight="1">
      <c r="B431" s="106"/>
      <c r="C431" s="107"/>
      <c r="D431" s="108"/>
      <c r="E431" s="109"/>
      <c r="F431" s="107"/>
      <c r="G431" s="110"/>
      <c r="H431" s="109"/>
      <c r="I431" s="9"/>
      <c r="J431" s="9"/>
      <c r="K431" s="9"/>
      <c r="L431" s="9"/>
      <c r="M431" s="9"/>
      <c r="N431" s="9"/>
      <c r="O431" s="9"/>
      <c r="P431" s="9"/>
      <c r="Q431" s="9"/>
      <c r="R431" s="9"/>
      <c r="S431" s="9"/>
      <c r="T431" s="9"/>
      <c r="U431" s="9"/>
      <c r="V431" s="9"/>
      <c r="W431" s="9"/>
      <c r="X431" s="9"/>
      <c r="Y431" s="9"/>
      <c r="Z431" s="9"/>
      <c r="AA431" s="9"/>
      <c r="AB431" s="9"/>
      <c r="AC431" s="9"/>
    </row>
    <row r="432" ht="15.75" customHeight="1">
      <c r="B432" s="106"/>
      <c r="C432" s="107"/>
      <c r="D432" s="108"/>
      <c r="E432" s="109"/>
      <c r="F432" s="107"/>
      <c r="G432" s="110"/>
      <c r="H432" s="109"/>
      <c r="I432" s="9"/>
      <c r="J432" s="9"/>
      <c r="K432" s="9"/>
      <c r="L432" s="9"/>
      <c r="M432" s="9"/>
      <c r="N432" s="9"/>
      <c r="O432" s="9"/>
      <c r="P432" s="9"/>
      <c r="Q432" s="9"/>
      <c r="R432" s="9"/>
      <c r="S432" s="9"/>
      <c r="T432" s="9"/>
      <c r="U432" s="9"/>
      <c r="V432" s="9"/>
      <c r="W432" s="9"/>
      <c r="X432" s="9"/>
      <c r="Y432" s="9"/>
      <c r="Z432" s="9"/>
      <c r="AA432" s="9"/>
      <c r="AB432" s="9"/>
      <c r="AC432" s="9"/>
    </row>
    <row r="433" ht="15.75" customHeight="1">
      <c r="B433" s="106"/>
      <c r="C433" s="107"/>
      <c r="D433" s="108"/>
      <c r="E433" s="109"/>
      <c r="F433" s="107"/>
      <c r="G433" s="110"/>
      <c r="H433" s="109"/>
      <c r="I433" s="9"/>
      <c r="J433" s="9"/>
      <c r="K433" s="9"/>
      <c r="L433" s="9"/>
      <c r="M433" s="9"/>
      <c r="N433" s="9"/>
      <c r="O433" s="9"/>
      <c r="P433" s="9"/>
      <c r="Q433" s="9"/>
      <c r="R433" s="9"/>
      <c r="S433" s="9"/>
      <c r="T433" s="9"/>
      <c r="U433" s="9"/>
      <c r="V433" s="9"/>
      <c r="W433" s="9"/>
      <c r="X433" s="9"/>
      <c r="Y433" s="9"/>
      <c r="Z433" s="9"/>
      <c r="AA433" s="9"/>
      <c r="AB433" s="9"/>
      <c r="AC433" s="9"/>
    </row>
    <row r="434" ht="15.75" customHeight="1">
      <c r="B434" s="106"/>
      <c r="C434" s="107"/>
      <c r="D434" s="108"/>
      <c r="E434" s="109"/>
      <c r="F434" s="107"/>
      <c r="G434" s="110"/>
      <c r="H434" s="109"/>
      <c r="I434" s="9"/>
      <c r="J434" s="9"/>
      <c r="K434" s="9"/>
      <c r="L434" s="9"/>
      <c r="M434" s="9"/>
      <c r="N434" s="9"/>
      <c r="O434" s="9"/>
      <c r="P434" s="9"/>
      <c r="Q434" s="9"/>
      <c r="R434" s="9"/>
      <c r="S434" s="9"/>
      <c r="T434" s="9"/>
      <c r="U434" s="9"/>
      <c r="V434" s="9"/>
      <c r="W434" s="9"/>
      <c r="X434" s="9"/>
      <c r="Y434" s="9"/>
      <c r="Z434" s="9"/>
      <c r="AA434" s="9"/>
      <c r="AB434" s="9"/>
      <c r="AC434" s="9"/>
    </row>
    <row r="435" ht="15.75" customHeight="1">
      <c r="B435" s="106"/>
      <c r="C435" s="107"/>
      <c r="D435" s="108"/>
      <c r="E435" s="109"/>
      <c r="F435" s="107"/>
      <c r="G435" s="110"/>
      <c r="H435" s="109"/>
      <c r="I435" s="9"/>
      <c r="J435" s="9"/>
      <c r="K435" s="9"/>
      <c r="L435" s="9"/>
      <c r="M435" s="9"/>
      <c r="N435" s="9"/>
      <c r="O435" s="9"/>
      <c r="P435" s="9"/>
      <c r="Q435" s="9"/>
      <c r="R435" s="9"/>
      <c r="S435" s="9"/>
      <c r="T435" s="9"/>
      <c r="U435" s="9"/>
      <c r="V435" s="9"/>
      <c r="W435" s="9"/>
      <c r="X435" s="9"/>
      <c r="Y435" s="9"/>
      <c r="Z435" s="9"/>
      <c r="AA435" s="9"/>
      <c r="AB435" s="9"/>
      <c r="AC435" s="9"/>
    </row>
    <row r="436" ht="15.75" customHeight="1">
      <c r="B436" s="106"/>
      <c r="C436" s="107"/>
      <c r="D436" s="108"/>
      <c r="E436" s="109"/>
      <c r="F436" s="107"/>
      <c r="G436" s="110"/>
      <c r="H436" s="109"/>
      <c r="I436" s="9"/>
      <c r="J436" s="9"/>
      <c r="K436" s="9"/>
      <c r="L436" s="9"/>
      <c r="M436" s="9"/>
      <c r="N436" s="9"/>
      <c r="O436" s="9"/>
      <c r="P436" s="9"/>
      <c r="Q436" s="9"/>
      <c r="R436" s="9"/>
      <c r="S436" s="9"/>
      <c r="T436" s="9"/>
      <c r="U436" s="9"/>
      <c r="V436" s="9"/>
      <c r="W436" s="9"/>
      <c r="X436" s="9"/>
      <c r="Y436" s="9"/>
      <c r="Z436" s="9"/>
      <c r="AA436" s="9"/>
      <c r="AB436" s="9"/>
      <c r="AC436" s="9"/>
    </row>
    <row r="437" ht="15.75" customHeight="1">
      <c r="B437" s="106"/>
      <c r="C437" s="107"/>
      <c r="D437" s="108"/>
      <c r="E437" s="109"/>
      <c r="F437" s="107"/>
      <c r="G437" s="110"/>
      <c r="H437" s="109"/>
      <c r="I437" s="9"/>
      <c r="J437" s="9"/>
      <c r="K437" s="9"/>
      <c r="L437" s="9"/>
      <c r="M437" s="9"/>
      <c r="N437" s="9"/>
      <c r="O437" s="9"/>
      <c r="P437" s="9"/>
      <c r="Q437" s="9"/>
      <c r="R437" s="9"/>
      <c r="S437" s="9"/>
      <c r="T437" s="9"/>
      <c r="U437" s="9"/>
      <c r="V437" s="9"/>
      <c r="W437" s="9"/>
      <c r="X437" s="9"/>
      <c r="Y437" s="9"/>
      <c r="Z437" s="9"/>
      <c r="AA437" s="9"/>
      <c r="AB437" s="9"/>
      <c r="AC437" s="9"/>
    </row>
    <row r="438" ht="15.75" customHeight="1">
      <c r="B438" s="106"/>
      <c r="C438" s="107"/>
      <c r="D438" s="108"/>
      <c r="E438" s="109"/>
      <c r="F438" s="107"/>
      <c r="G438" s="110"/>
      <c r="H438" s="109"/>
      <c r="I438" s="9"/>
      <c r="J438" s="9"/>
      <c r="K438" s="9"/>
      <c r="L438" s="9"/>
      <c r="M438" s="9"/>
      <c r="N438" s="9"/>
      <c r="O438" s="9"/>
      <c r="P438" s="9"/>
      <c r="Q438" s="9"/>
      <c r="R438" s="9"/>
      <c r="S438" s="9"/>
      <c r="T438" s="9"/>
      <c r="U438" s="9"/>
      <c r="V438" s="9"/>
      <c r="W438" s="9"/>
      <c r="X438" s="9"/>
      <c r="Y438" s="9"/>
      <c r="Z438" s="9"/>
      <c r="AA438" s="9"/>
      <c r="AB438" s="9"/>
      <c r="AC438" s="9"/>
    </row>
    <row r="439" ht="15.75" customHeight="1">
      <c r="B439" s="106"/>
      <c r="C439" s="107"/>
      <c r="D439" s="108"/>
      <c r="E439" s="109"/>
      <c r="F439" s="107"/>
      <c r="G439" s="110"/>
      <c r="H439" s="109"/>
      <c r="I439" s="9"/>
      <c r="J439" s="9"/>
      <c r="K439" s="9"/>
      <c r="L439" s="9"/>
      <c r="M439" s="9"/>
      <c r="N439" s="9"/>
      <c r="O439" s="9"/>
      <c r="P439" s="9"/>
      <c r="Q439" s="9"/>
      <c r="R439" s="9"/>
      <c r="S439" s="9"/>
      <c r="T439" s="9"/>
      <c r="U439" s="9"/>
      <c r="V439" s="9"/>
      <c r="W439" s="9"/>
      <c r="X439" s="9"/>
      <c r="Y439" s="9"/>
      <c r="Z439" s="9"/>
      <c r="AA439" s="9"/>
      <c r="AB439" s="9"/>
      <c r="AC439" s="9"/>
    </row>
    <row r="440" ht="15.75" customHeight="1">
      <c r="B440" s="106"/>
      <c r="C440" s="107"/>
      <c r="D440" s="108"/>
      <c r="E440" s="109"/>
      <c r="F440" s="107"/>
      <c r="G440" s="110"/>
      <c r="H440" s="109"/>
      <c r="I440" s="9"/>
      <c r="J440" s="9"/>
      <c r="K440" s="9"/>
      <c r="L440" s="9"/>
      <c r="M440" s="9"/>
      <c r="N440" s="9"/>
      <c r="O440" s="9"/>
      <c r="P440" s="9"/>
      <c r="Q440" s="9"/>
      <c r="R440" s="9"/>
      <c r="S440" s="9"/>
      <c r="T440" s="9"/>
      <c r="U440" s="9"/>
      <c r="V440" s="9"/>
      <c r="W440" s="9"/>
      <c r="X440" s="9"/>
      <c r="Y440" s="9"/>
      <c r="Z440" s="9"/>
      <c r="AA440" s="9"/>
      <c r="AB440" s="9"/>
      <c r="AC440" s="9"/>
    </row>
    <row r="441" ht="15.75" customHeight="1">
      <c r="B441" s="106"/>
      <c r="C441" s="107"/>
      <c r="D441" s="108"/>
      <c r="E441" s="109"/>
      <c r="F441" s="107"/>
      <c r="G441" s="110"/>
      <c r="H441" s="109"/>
      <c r="I441" s="9"/>
      <c r="J441" s="9"/>
      <c r="K441" s="9"/>
      <c r="L441" s="9"/>
      <c r="M441" s="9"/>
      <c r="N441" s="9"/>
      <c r="O441" s="9"/>
      <c r="P441" s="9"/>
      <c r="Q441" s="9"/>
      <c r="R441" s="9"/>
      <c r="S441" s="9"/>
      <c r="T441" s="9"/>
      <c r="U441" s="9"/>
      <c r="V441" s="9"/>
      <c r="W441" s="9"/>
      <c r="X441" s="9"/>
      <c r="Y441" s="9"/>
      <c r="Z441" s="9"/>
      <c r="AA441" s="9"/>
      <c r="AB441" s="9"/>
      <c r="AC441" s="9"/>
    </row>
    <row r="442" ht="15.75" customHeight="1">
      <c r="B442" s="106"/>
      <c r="C442" s="107"/>
      <c r="D442" s="108"/>
      <c r="E442" s="109"/>
      <c r="F442" s="107"/>
      <c r="G442" s="110"/>
      <c r="H442" s="109"/>
      <c r="I442" s="9"/>
      <c r="J442" s="9"/>
      <c r="K442" s="9"/>
      <c r="L442" s="9"/>
      <c r="M442" s="9"/>
      <c r="N442" s="9"/>
      <c r="O442" s="9"/>
      <c r="P442" s="9"/>
      <c r="Q442" s="9"/>
      <c r="R442" s="9"/>
      <c r="S442" s="9"/>
      <c r="T442" s="9"/>
      <c r="U442" s="9"/>
      <c r="V442" s="9"/>
      <c r="W442" s="9"/>
      <c r="X442" s="9"/>
      <c r="Y442" s="9"/>
      <c r="Z442" s="9"/>
      <c r="AA442" s="9"/>
      <c r="AB442" s="9"/>
      <c r="AC442" s="9"/>
    </row>
    <row r="443" ht="15.75" customHeight="1">
      <c r="B443" s="106"/>
      <c r="C443" s="107"/>
      <c r="D443" s="108"/>
      <c r="E443" s="109"/>
      <c r="F443" s="107"/>
      <c r="G443" s="110"/>
      <c r="H443" s="109"/>
      <c r="I443" s="9"/>
      <c r="J443" s="9"/>
      <c r="K443" s="9"/>
      <c r="L443" s="9"/>
      <c r="M443" s="9"/>
      <c r="N443" s="9"/>
      <c r="O443" s="9"/>
      <c r="P443" s="9"/>
      <c r="Q443" s="9"/>
      <c r="R443" s="9"/>
      <c r="S443" s="9"/>
      <c r="T443" s="9"/>
      <c r="U443" s="9"/>
      <c r="V443" s="9"/>
      <c r="W443" s="9"/>
      <c r="X443" s="9"/>
      <c r="Y443" s="9"/>
      <c r="Z443" s="9"/>
      <c r="AA443" s="9"/>
      <c r="AB443" s="9"/>
      <c r="AC443" s="9"/>
    </row>
    <row r="444" ht="15.75" customHeight="1">
      <c r="B444" s="106"/>
      <c r="C444" s="107"/>
      <c r="D444" s="108"/>
      <c r="E444" s="109"/>
      <c r="F444" s="107"/>
      <c r="G444" s="110"/>
      <c r="H444" s="109"/>
      <c r="I444" s="9"/>
      <c r="J444" s="9"/>
      <c r="K444" s="9"/>
      <c r="L444" s="9"/>
      <c r="M444" s="9"/>
      <c r="N444" s="9"/>
      <c r="O444" s="9"/>
      <c r="P444" s="9"/>
      <c r="Q444" s="9"/>
      <c r="R444" s="9"/>
      <c r="S444" s="9"/>
      <c r="T444" s="9"/>
      <c r="U444" s="9"/>
      <c r="V444" s="9"/>
      <c r="W444" s="9"/>
      <c r="X444" s="9"/>
      <c r="Y444" s="9"/>
      <c r="Z444" s="9"/>
      <c r="AA444" s="9"/>
      <c r="AB444" s="9"/>
      <c r="AC444" s="9"/>
    </row>
    <row r="445" ht="15.75" customHeight="1">
      <c r="B445" s="106"/>
      <c r="C445" s="107"/>
      <c r="D445" s="108"/>
      <c r="E445" s="109"/>
      <c r="F445" s="107"/>
      <c r="G445" s="110"/>
      <c r="H445" s="109"/>
      <c r="I445" s="9"/>
      <c r="J445" s="9"/>
      <c r="K445" s="9"/>
      <c r="L445" s="9"/>
      <c r="M445" s="9"/>
      <c r="N445" s="9"/>
      <c r="O445" s="9"/>
      <c r="P445" s="9"/>
      <c r="Q445" s="9"/>
      <c r="R445" s="9"/>
      <c r="S445" s="9"/>
      <c r="T445" s="9"/>
      <c r="U445" s="9"/>
      <c r="V445" s="9"/>
      <c r="W445" s="9"/>
      <c r="X445" s="9"/>
      <c r="Y445" s="9"/>
      <c r="Z445" s="9"/>
      <c r="AA445" s="9"/>
      <c r="AB445" s="9"/>
      <c r="AC445" s="9"/>
    </row>
    <row r="446" ht="15.75" customHeight="1">
      <c r="B446" s="106"/>
      <c r="C446" s="107"/>
      <c r="D446" s="108"/>
      <c r="E446" s="109"/>
      <c r="F446" s="107"/>
      <c r="G446" s="110"/>
      <c r="H446" s="109"/>
      <c r="I446" s="9"/>
      <c r="J446" s="9"/>
      <c r="K446" s="9"/>
      <c r="L446" s="9"/>
      <c r="M446" s="9"/>
      <c r="N446" s="9"/>
      <c r="O446" s="9"/>
      <c r="P446" s="9"/>
      <c r="Q446" s="9"/>
      <c r="R446" s="9"/>
      <c r="S446" s="9"/>
      <c r="T446" s="9"/>
      <c r="U446" s="9"/>
      <c r="V446" s="9"/>
      <c r="W446" s="9"/>
      <c r="X446" s="9"/>
      <c r="Y446" s="9"/>
      <c r="Z446" s="9"/>
      <c r="AA446" s="9"/>
      <c r="AB446" s="9"/>
      <c r="AC446" s="9"/>
    </row>
    <row r="447" ht="15.75" customHeight="1">
      <c r="B447" s="106"/>
      <c r="C447" s="107"/>
      <c r="D447" s="108"/>
      <c r="E447" s="109"/>
      <c r="F447" s="107"/>
      <c r="G447" s="110"/>
      <c r="H447" s="109"/>
      <c r="I447" s="9"/>
      <c r="J447" s="9"/>
      <c r="K447" s="9"/>
      <c r="L447" s="9"/>
      <c r="M447" s="9"/>
      <c r="N447" s="9"/>
      <c r="O447" s="9"/>
      <c r="P447" s="9"/>
      <c r="Q447" s="9"/>
      <c r="R447" s="9"/>
      <c r="S447" s="9"/>
      <c r="T447" s="9"/>
      <c r="U447" s="9"/>
      <c r="V447" s="9"/>
      <c r="W447" s="9"/>
      <c r="X447" s="9"/>
      <c r="Y447" s="9"/>
      <c r="Z447" s="9"/>
      <c r="AA447" s="9"/>
      <c r="AB447" s="9"/>
      <c r="AC447" s="9"/>
    </row>
    <row r="448" ht="15.75" customHeight="1">
      <c r="B448" s="106"/>
      <c r="C448" s="107"/>
      <c r="D448" s="108"/>
      <c r="E448" s="109"/>
      <c r="F448" s="107"/>
      <c r="G448" s="110"/>
      <c r="H448" s="109"/>
      <c r="I448" s="9"/>
      <c r="J448" s="9"/>
      <c r="K448" s="9"/>
      <c r="L448" s="9"/>
      <c r="M448" s="9"/>
      <c r="N448" s="9"/>
      <c r="O448" s="9"/>
      <c r="P448" s="9"/>
      <c r="Q448" s="9"/>
      <c r="R448" s="9"/>
      <c r="S448" s="9"/>
      <c r="T448" s="9"/>
      <c r="U448" s="9"/>
      <c r="V448" s="9"/>
      <c r="W448" s="9"/>
      <c r="X448" s="9"/>
      <c r="Y448" s="9"/>
      <c r="Z448" s="9"/>
      <c r="AA448" s="9"/>
      <c r="AB448" s="9"/>
      <c r="AC448" s="9"/>
    </row>
    <row r="449" ht="15.75" customHeight="1">
      <c r="B449" s="106"/>
      <c r="C449" s="107"/>
      <c r="D449" s="108"/>
      <c r="E449" s="109"/>
      <c r="F449" s="107"/>
      <c r="G449" s="110"/>
      <c r="H449" s="109"/>
      <c r="I449" s="9"/>
      <c r="J449" s="9"/>
      <c r="K449" s="9"/>
      <c r="L449" s="9"/>
      <c r="M449" s="9"/>
      <c r="N449" s="9"/>
      <c r="O449" s="9"/>
      <c r="P449" s="9"/>
      <c r="Q449" s="9"/>
      <c r="R449" s="9"/>
      <c r="S449" s="9"/>
      <c r="T449" s="9"/>
      <c r="U449" s="9"/>
      <c r="V449" s="9"/>
      <c r="W449" s="9"/>
      <c r="X449" s="9"/>
      <c r="Y449" s="9"/>
      <c r="Z449" s="9"/>
      <c r="AA449" s="9"/>
      <c r="AB449" s="9"/>
      <c r="AC449" s="9"/>
    </row>
    <row r="450" ht="15.75" customHeight="1">
      <c r="B450" s="106"/>
      <c r="C450" s="107"/>
      <c r="D450" s="108"/>
      <c r="E450" s="109"/>
      <c r="F450" s="107"/>
      <c r="G450" s="110"/>
      <c r="H450" s="109"/>
      <c r="I450" s="9"/>
      <c r="J450" s="9"/>
      <c r="K450" s="9"/>
      <c r="L450" s="9"/>
      <c r="M450" s="9"/>
      <c r="N450" s="9"/>
      <c r="O450" s="9"/>
      <c r="P450" s="9"/>
      <c r="Q450" s="9"/>
      <c r="R450" s="9"/>
      <c r="S450" s="9"/>
      <c r="T450" s="9"/>
      <c r="U450" s="9"/>
      <c r="V450" s="9"/>
      <c r="W450" s="9"/>
      <c r="X450" s="9"/>
      <c r="Y450" s="9"/>
      <c r="Z450" s="9"/>
      <c r="AA450" s="9"/>
      <c r="AB450" s="9"/>
      <c r="AC450" s="9"/>
    </row>
    <row r="451" ht="15.75" customHeight="1">
      <c r="B451" s="106"/>
      <c r="C451" s="107"/>
      <c r="D451" s="108"/>
      <c r="E451" s="109"/>
      <c r="F451" s="107"/>
      <c r="G451" s="110"/>
      <c r="H451" s="109"/>
      <c r="I451" s="9"/>
      <c r="J451" s="9"/>
      <c r="K451" s="9"/>
      <c r="L451" s="9"/>
      <c r="M451" s="9"/>
      <c r="N451" s="9"/>
      <c r="O451" s="9"/>
      <c r="P451" s="9"/>
      <c r="Q451" s="9"/>
      <c r="R451" s="9"/>
      <c r="S451" s="9"/>
      <c r="T451" s="9"/>
      <c r="U451" s="9"/>
      <c r="V451" s="9"/>
      <c r="W451" s="9"/>
      <c r="X451" s="9"/>
      <c r="Y451" s="9"/>
      <c r="Z451" s="9"/>
      <c r="AA451" s="9"/>
      <c r="AB451" s="9"/>
      <c r="AC451" s="9"/>
    </row>
    <row r="452" ht="15.75" customHeight="1">
      <c r="B452" s="106"/>
      <c r="C452" s="107"/>
      <c r="D452" s="108"/>
      <c r="E452" s="109"/>
      <c r="F452" s="107"/>
      <c r="G452" s="110"/>
      <c r="H452" s="109"/>
      <c r="I452" s="9"/>
      <c r="J452" s="9"/>
      <c r="K452" s="9"/>
      <c r="L452" s="9"/>
      <c r="M452" s="9"/>
      <c r="N452" s="9"/>
      <c r="O452" s="9"/>
      <c r="P452" s="9"/>
      <c r="Q452" s="9"/>
      <c r="R452" s="9"/>
      <c r="S452" s="9"/>
      <c r="T452" s="9"/>
      <c r="U452" s="9"/>
      <c r="V452" s="9"/>
      <c r="W452" s="9"/>
      <c r="X452" s="9"/>
      <c r="Y452" s="9"/>
      <c r="Z452" s="9"/>
      <c r="AA452" s="9"/>
      <c r="AB452" s="9"/>
      <c r="AC452" s="9"/>
    </row>
    <row r="453" ht="15.75" customHeight="1">
      <c r="B453" s="106"/>
      <c r="C453" s="107"/>
      <c r="D453" s="108"/>
      <c r="E453" s="109"/>
      <c r="F453" s="107"/>
      <c r="G453" s="110"/>
      <c r="H453" s="109"/>
      <c r="I453" s="9"/>
      <c r="J453" s="9"/>
      <c r="K453" s="9"/>
      <c r="L453" s="9"/>
      <c r="M453" s="9"/>
      <c r="N453" s="9"/>
      <c r="O453" s="9"/>
      <c r="P453" s="9"/>
      <c r="Q453" s="9"/>
      <c r="R453" s="9"/>
      <c r="S453" s="9"/>
      <c r="T453" s="9"/>
      <c r="U453" s="9"/>
      <c r="V453" s="9"/>
      <c r="W453" s="9"/>
      <c r="X453" s="9"/>
      <c r="Y453" s="9"/>
      <c r="Z453" s="9"/>
      <c r="AA453" s="9"/>
      <c r="AB453" s="9"/>
      <c r="AC453" s="9"/>
    </row>
    <row r="454" ht="15.75" customHeight="1">
      <c r="B454" s="106"/>
      <c r="C454" s="107"/>
      <c r="D454" s="108"/>
      <c r="E454" s="109"/>
      <c r="F454" s="107"/>
      <c r="G454" s="110"/>
      <c r="H454" s="109"/>
      <c r="I454" s="9"/>
      <c r="J454" s="9"/>
      <c r="K454" s="9"/>
      <c r="L454" s="9"/>
      <c r="M454" s="9"/>
      <c r="N454" s="9"/>
      <c r="O454" s="9"/>
      <c r="P454" s="9"/>
      <c r="Q454" s="9"/>
      <c r="R454" s="9"/>
      <c r="S454" s="9"/>
      <c r="T454" s="9"/>
      <c r="U454" s="9"/>
      <c r="V454" s="9"/>
      <c r="W454" s="9"/>
      <c r="X454" s="9"/>
      <c r="Y454" s="9"/>
      <c r="Z454" s="9"/>
      <c r="AA454" s="9"/>
      <c r="AB454" s="9"/>
      <c r="AC454" s="9"/>
    </row>
    <row r="455" ht="15.75" customHeight="1">
      <c r="B455" s="106"/>
      <c r="C455" s="107"/>
      <c r="D455" s="108"/>
      <c r="E455" s="109"/>
      <c r="F455" s="107"/>
      <c r="G455" s="110"/>
      <c r="H455" s="109"/>
      <c r="I455" s="9"/>
      <c r="J455" s="9"/>
      <c r="K455" s="9"/>
      <c r="L455" s="9"/>
      <c r="M455" s="9"/>
      <c r="N455" s="9"/>
      <c r="O455" s="9"/>
      <c r="P455" s="9"/>
      <c r="Q455" s="9"/>
      <c r="R455" s="9"/>
      <c r="S455" s="9"/>
      <c r="T455" s="9"/>
      <c r="U455" s="9"/>
      <c r="V455" s="9"/>
      <c r="W455" s="9"/>
      <c r="X455" s="9"/>
      <c r="Y455" s="9"/>
      <c r="Z455" s="9"/>
      <c r="AA455" s="9"/>
      <c r="AB455" s="9"/>
      <c r="AC455" s="9"/>
    </row>
    <row r="456" ht="15.75" customHeight="1">
      <c r="B456" s="106"/>
      <c r="C456" s="107"/>
      <c r="D456" s="108"/>
      <c r="E456" s="109"/>
      <c r="F456" s="107"/>
      <c r="G456" s="110"/>
      <c r="H456" s="109"/>
      <c r="I456" s="9"/>
      <c r="J456" s="9"/>
      <c r="K456" s="9"/>
      <c r="L456" s="9"/>
      <c r="M456" s="9"/>
      <c r="N456" s="9"/>
      <c r="O456" s="9"/>
      <c r="P456" s="9"/>
      <c r="Q456" s="9"/>
      <c r="R456" s="9"/>
      <c r="S456" s="9"/>
      <c r="T456" s="9"/>
      <c r="U456" s="9"/>
      <c r="V456" s="9"/>
      <c r="W456" s="9"/>
      <c r="X456" s="9"/>
      <c r="Y456" s="9"/>
      <c r="Z456" s="9"/>
      <c r="AA456" s="9"/>
      <c r="AB456" s="9"/>
      <c r="AC456" s="9"/>
    </row>
    <row r="457" ht="15.75" customHeight="1">
      <c r="B457" s="106"/>
      <c r="C457" s="107"/>
      <c r="D457" s="108"/>
      <c r="E457" s="109"/>
      <c r="F457" s="107"/>
      <c r="G457" s="110"/>
      <c r="H457" s="109"/>
      <c r="I457" s="9"/>
      <c r="J457" s="9"/>
      <c r="K457" s="9"/>
      <c r="L457" s="9"/>
      <c r="M457" s="9"/>
      <c r="N457" s="9"/>
      <c r="O457" s="9"/>
      <c r="P457" s="9"/>
      <c r="Q457" s="9"/>
      <c r="R457" s="9"/>
      <c r="S457" s="9"/>
      <c r="T457" s="9"/>
      <c r="U457" s="9"/>
      <c r="V457" s="9"/>
      <c r="W457" s="9"/>
      <c r="X457" s="9"/>
      <c r="Y457" s="9"/>
      <c r="Z457" s="9"/>
      <c r="AA457" s="9"/>
      <c r="AB457" s="9"/>
      <c r="AC457" s="9"/>
    </row>
    <row r="458" ht="15.75" customHeight="1">
      <c r="B458" s="106"/>
      <c r="C458" s="107"/>
      <c r="D458" s="108"/>
      <c r="E458" s="109"/>
      <c r="F458" s="107"/>
      <c r="G458" s="110"/>
      <c r="H458" s="109"/>
      <c r="I458" s="9"/>
      <c r="J458" s="9"/>
      <c r="K458" s="9"/>
      <c r="L458" s="9"/>
      <c r="M458" s="9"/>
      <c r="N458" s="9"/>
      <c r="O458" s="9"/>
      <c r="P458" s="9"/>
      <c r="Q458" s="9"/>
      <c r="R458" s="9"/>
      <c r="S458" s="9"/>
      <c r="T458" s="9"/>
      <c r="U458" s="9"/>
      <c r="V458" s="9"/>
      <c r="W458" s="9"/>
      <c r="X458" s="9"/>
      <c r="Y458" s="9"/>
      <c r="Z458" s="9"/>
      <c r="AA458" s="9"/>
      <c r="AB458" s="9"/>
      <c r="AC458" s="9"/>
    </row>
    <row r="459" ht="15.75" customHeight="1">
      <c r="B459" s="106"/>
      <c r="C459" s="107"/>
      <c r="D459" s="108"/>
      <c r="E459" s="109"/>
      <c r="F459" s="107"/>
      <c r="G459" s="110"/>
      <c r="H459" s="109"/>
      <c r="I459" s="9"/>
      <c r="J459" s="9"/>
      <c r="K459" s="9"/>
      <c r="L459" s="9"/>
      <c r="M459" s="9"/>
      <c r="N459" s="9"/>
      <c r="O459" s="9"/>
      <c r="P459" s="9"/>
      <c r="Q459" s="9"/>
      <c r="R459" s="9"/>
      <c r="S459" s="9"/>
      <c r="T459" s="9"/>
      <c r="U459" s="9"/>
      <c r="V459" s="9"/>
      <c r="W459" s="9"/>
      <c r="X459" s="9"/>
      <c r="Y459" s="9"/>
      <c r="Z459" s="9"/>
      <c r="AA459" s="9"/>
      <c r="AB459" s="9"/>
      <c r="AC459" s="9"/>
    </row>
    <row r="460" ht="15.75" customHeight="1">
      <c r="B460" s="106"/>
      <c r="C460" s="107"/>
      <c r="D460" s="108"/>
      <c r="E460" s="109"/>
      <c r="F460" s="107"/>
      <c r="G460" s="110"/>
      <c r="H460" s="109"/>
      <c r="I460" s="9"/>
      <c r="J460" s="9"/>
      <c r="K460" s="9"/>
      <c r="L460" s="9"/>
      <c r="M460" s="9"/>
      <c r="N460" s="9"/>
      <c r="O460" s="9"/>
      <c r="P460" s="9"/>
      <c r="Q460" s="9"/>
      <c r="R460" s="9"/>
      <c r="S460" s="9"/>
      <c r="T460" s="9"/>
      <c r="U460" s="9"/>
      <c r="V460" s="9"/>
      <c r="W460" s="9"/>
      <c r="X460" s="9"/>
      <c r="Y460" s="9"/>
      <c r="Z460" s="9"/>
      <c r="AA460" s="9"/>
      <c r="AB460" s="9"/>
      <c r="AC460" s="9"/>
    </row>
    <row r="461" ht="15.75" customHeight="1">
      <c r="B461" s="106"/>
      <c r="C461" s="107"/>
      <c r="D461" s="108"/>
      <c r="E461" s="109"/>
      <c r="F461" s="107"/>
      <c r="G461" s="110"/>
      <c r="H461" s="109"/>
      <c r="I461" s="9"/>
      <c r="J461" s="9"/>
      <c r="K461" s="9"/>
      <c r="L461" s="9"/>
      <c r="M461" s="9"/>
      <c r="N461" s="9"/>
      <c r="O461" s="9"/>
      <c r="P461" s="9"/>
      <c r="Q461" s="9"/>
      <c r="R461" s="9"/>
      <c r="S461" s="9"/>
      <c r="T461" s="9"/>
      <c r="U461" s="9"/>
      <c r="V461" s="9"/>
      <c r="W461" s="9"/>
      <c r="X461" s="9"/>
      <c r="Y461" s="9"/>
      <c r="Z461" s="9"/>
      <c r="AA461" s="9"/>
      <c r="AB461" s="9"/>
      <c r="AC461" s="9"/>
    </row>
    <row r="462" ht="15.75" customHeight="1">
      <c r="B462" s="106"/>
      <c r="C462" s="107"/>
      <c r="D462" s="108"/>
      <c r="E462" s="109"/>
      <c r="F462" s="107"/>
      <c r="G462" s="110"/>
      <c r="H462" s="109"/>
      <c r="I462" s="9"/>
      <c r="J462" s="9"/>
      <c r="K462" s="9"/>
      <c r="L462" s="9"/>
      <c r="M462" s="9"/>
      <c r="N462" s="9"/>
      <c r="O462" s="9"/>
      <c r="P462" s="9"/>
      <c r="Q462" s="9"/>
      <c r="R462" s="9"/>
      <c r="S462" s="9"/>
      <c r="T462" s="9"/>
      <c r="U462" s="9"/>
      <c r="V462" s="9"/>
      <c r="W462" s="9"/>
      <c r="X462" s="9"/>
      <c r="Y462" s="9"/>
      <c r="Z462" s="9"/>
      <c r="AA462" s="9"/>
      <c r="AB462" s="9"/>
      <c r="AC462" s="9"/>
    </row>
    <row r="463" ht="15.75" customHeight="1">
      <c r="B463" s="106"/>
      <c r="C463" s="107"/>
      <c r="D463" s="108"/>
      <c r="E463" s="109"/>
      <c r="F463" s="107"/>
      <c r="G463" s="110"/>
      <c r="H463" s="109"/>
      <c r="I463" s="9"/>
      <c r="J463" s="9"/>
      <c r="K463" s="9"/>
      <c r="L463" s="9"/>
      <c r="M463" s="9"/>
      <c r="N463" s="9"/>
      <c r="O463" s="9"/>
      <c r="P463" s="9"/>
      <c r="Q463" s="9"/>
      <c r="R463" s="9"/>
      <c r="S463" s="9"/>
      <c r="T463" s="9"/>
      <c r="U463" s="9"/>
      <c r="V463" s="9"/>
      <c r="W463" s="9"/>
      <c r="X463" s="9"/>
      <c r="Y463" s="9"/>
      <c r="Z463" s="9"/>
      <c r="AA463" s="9"/>
      <c r="AB463" s="9"/>
      <c r="AC463" s="9"/>
    </row>
    <row r="464" ht="15.75" customHeight="1">
      <c r="B464" s="106"/>
      <c r="C464" s="107"/>
      <c r="D464" s="108"/>
      <c r="E464" s="109"/>
      <c r="F464" s="107"/>
      <c r="G464" s="110"/>
      <c r="H464" s="109"/>
      <c r="I464" s="9"/>
      <c r="J464" s="9"/>
      <c r="K464" s="9"/>
      <c r="L464" s="9"/>
      <c r="M464" s="9"/>
      <c r="N464" s="9"/>
      <c r="O464" s="9"/>
      <c r="P464" s="9"/>
      <c r="Q464" s="9"/>
      <c r="R464" s="9"/>
      <c r="S464" s="9"/>
      <c r="T464" s="9"/>
      <c r="U464" s="9"/>
      <c r="V464" s="9"/>
      <c r="W464" s="9"/>
      <c r="X464" s="9"/>
      <c r="Y464" s="9"/>
      <c r="Z464" s="9"/>
      <c r="AA464" s="9"/>
      <c r="AB464" s="9"/>
      <c r="AC464" s="9"/>
    </row>
    <row r="465" ht="15.75" customHeight="1">
      <c r="B465" s="106"/>
      <c r="C465" s="107"/>
      <c r="D465" s="108"/>
      <c r="E465" s="109"/>
      <c r="F465" s="107"/>
      <c r="G465" s="110"/>
      <c r="H465" s="109"/>
      <c r="I465" s="9"/>
      <c r="J465" s="9"/>
      <c r="K465" s="9"/>
      <c r="L465" s="9"/>
      <c r="M465" s="9"/>
      <c r="N465" s="9"/>
      <c r="O465" s="9"/>
      <c r="P465" s="9"/>
      <c r="Q465" s="9"/>
      <c r="R465" s="9"/>
      <c r="S465" s="9"/>
      <c r="T465" s="9"/>
      <c r="U465" s="9"/>
      <c r="V465" s="9"/>
      <c r="W465" s="9"/>
      <c r="X465" s="9"/>
      <c r="Y465" s="9"/>
      <c r="Z465" s="9"/>
      <c r="AA465" s="9"/>
      <c r="AB465" s="9"/>
      <c r="AC465" s="9"/>
    </row>
    <row r="466" ht="15.75" customHeight="1">
      <c r="B466" s="106"/>
      <c r="C466" s="107"/>
      <c r="D466" s="108"/>
      <c r="E466" s="109"/>
      <c r="F466" s="107"/>
      <c r="G466" s="110"/>
      <c r="H466" s="109"/>
      <c r="I466" s="9"/>
      <c r="J466" s="9"/>
      <c r="K466" s="9"/>
      <c r="L466" s="9"/>
      <c r="M466" s="9"/>
      <c r="N466" s="9"/>
      <c r="O466" s="9"/>
      <c r="P466" s="9"/>
      <c r="Q466" s="9"/>
      <c r="R466" s="9"/>
      <c r="S466" s="9"/>
      <c r="T466" s="9"/>
      <c r="U466" s="9"/>
      <c r="V466" s="9"/>
      <c r="W466" s="9"/>
      <c r="X466" s="9"/>
      <c r="Y466" s="9"/>
      <c r="Z466" s="9"/>
      <c r="AA466" s="9"/>
      <c r="AB466" s="9"/>
      <c r="AC466" s="9"/>
    </row>
    <row r="467" ht="15.75" customHeight="1">
      <c r="B467" s="106"/>
      <c r="C467" s="107"/>
      <c r="D467" s="108"/>
      <c r="E467" s="109"/>
      <c r="F467" s="107"/>
      <c r="G467" s="110"/>
      <c r="H467" s="109"/>
      <c r="I467" s="9"/>
      <c r="J467" s="9"/>
      <c r="K467" s="9"/>
      <c r="L467" s="9"/>
      <c r="M467" s="9"/>
      <c r="N467" s="9"/>
      <c r="O467" s="9"/>
      <c r="P467" s="9"/>
      <c r="Q467" s="9"/>
      <c r="R467" s="9"/>
      <c r="S467" s="9"/>
      <c r="T467" s="9"/>
      <c r="U467" s="9"/>
      <c r="V467" s="9"/>
      <c r="W467" s="9"/>
      <c r="X467" s="9"/>
      <c r="Y467" s="9"/>
      <c r="Z467" s="9"/>
      <c r="AA467" s="9"/>
      <c r="AB467" s="9"/>
      <c r="AC467" s="9"/>
    </row>
    <row r="468" ht="15.75" customHeight="1">
      <c r="B468" s="106"/>
      <c r="C468" s="107"/>
      <c r="D468" s="108"/>
      <c r="E468" s="109"/>
      <c r="F468" s="107"/>
      <c r="G468" s="110"/>
      <c r="H468" s="109"/>
      <c r="I468" s="9"/>
      <c r="J468" s="9"/>
      <c r="K468" s="9"/>
      <c r="L468" s="9"/>
      <c r="M468" s="9"/>
      <c r="N468" s="9"/>
      <c r="O468" s="9"/>
      <c r="P468" s="9"/>
      <c r="Q468" s="9"/>
      <c r="R468" s="9"/>
      <c r="S468" s="9"/>
      <c r="T468" s="9"/>
      <c r="U468" s="9"/>
      <c r="V468" s="9"/>
      <c r="W468" s="9"/>
      <c r="X468" s="9"/>
      <c r="Y468" s="9"/>
      <c r="Z468" s="9"/>
      <c r="AA468" s="9"/>
      <c r="AB468" s="9"/>
      <c r="AC468" s="9"/>
    </row>
    <row r="469" ht="15.75" customHeight="1">
      <c r="B469" s="106"/>
      <c r="C469" s="107"/>
      <c r="D469" s="108"/>
      <c r="E469" s="109"/>
      <c r="F469" s="107"/>
      <c r="G469" s="110"/>
      <c r="H469" s="109"/>
      <c r="I469" s="9"/>
      <c r="J469" s="9"/>
      <c r="K469" s="9"/>
      <c r="L469" s="9"/>
      <c r="M469" s="9"/>
      <c r="N469" s="9"/>
      <c r="O469" s="9"/>
      <c r="P469" s="9"/>
      <c r="Q469" s="9"/>
      <c r="R469" s="9"/>
      <c r="S469" s="9"/>
      <c r="T469" s="9"/>
      <c r="U469" s="9"/>
      <c r="V469" s="9"/>
      <c r="W469" s="9"/>
      <c r="X469" s="9"/>
      <c r="Y469" s="9"/>
      <c r="Z469" s="9"/>
      <c r="AA469" s="9"/>
      <c r="AB469" s="9"/>
      <c r="AC469" s="9"/>
    </row>
    <row r="470" ht="15.75" customHeight="1">
      <c r="B470" s="106"/>
      <c r="C470" s="107"/>
      <c r="D470" s="108"/>
      <c r="E470" s="109"/>
      <c r="F470" s="107"/>
      <c r="G470" s="110"/>
      <c r="H470" s="109"/>
      <c r="I470" s="9"/>
      <c r="J470" s="9"/>
      <c r="K470" s="9"/>
      <c r="L470" s="9"/>
      <c r="M470" s="9"/>
      <c r="N470" s="9"/>
      <c r="O470" s="9"/>
      <c r="P470" s="9"/>
      <c r="Q470" s="9"/>
      <c r="R470" s="9"/>
      <c r="S470" s="9"/>
      <c r="T470" s="9"/>
      <c r="U470" s="9"/>
      <c r="V470" s="9"/>
      <c r="W470" s="9"/>
      <c r="X470" s="9"/>
      <c r="Y470" s="9"/>
      <c r="Z470" s="9"/>
      <c r="AA470" s="9"/>
      <c r="AB470" s="9"/>
      <c r="AC470" s="9"/>
    </row>
    <row r="471" ht="15.75" customHeight="1">
      <c r="B471" s="106"/>
      <c r="C471" s="107"/>
      <c r="D471" s="108"/>
      <c r="E471" s="109"/>
      <c r="F471" s="107"/>
      <c r="G471" s="110"/>
      <c r="H471" s="109"/>
      <c r="I471" s="9"/>
      <c r="J471" s="9"/>
      <c r="K471" s="9"/>
      <c r="L471" s="9"/>
      <c r="M471" s="9"/>
      <c r="N471" s="9"/>
      <c r="O471" s="9"/>
      <c r="P471" s="9"/>
      <c r="Q471" s="9"/>
      <c r="R471" s="9"/>
      <c r="S471" s="9"/>
      <c r="T471" s="9"/>
      <c r="U471" s="9"/>
      <c r="V471" s="9"/>
      <c r="W471" s="9"/>
      <c r="X471" s="9"/>
      <c r="Y471" s="9"/>
      <c r="Z471" s="9"/>
      <c r="AA471" s="9"/>
      <c r="AB471" s="9"/>
      <c r="AC471" s="9"/>
    </row>
    <row r="472" ht="15.75" customHeight="1">
      <c r="B472" s="106"/>
      <c r="C472" s="107"/>
      <c r="D472" s="108"/>
      <c r="E472" s="109"/>
      <c r="F472" s="107"/>
      <c r="G472" s="110"/>
      <c r="H472" s="109"/>
      <c r="I472" s="9"/>
      <c r="J472" s="9"/>
      <c r="K472" s="9"/>
      <c r="L472" s="9"/>
      <c r="M472" s="9"/>
      <c r="N472" s="9"/>
      <c r="O472" s="9"/>
      <c r="P472" s="9"/>
      <c r="Q472" s="9"/>
      <c r="R472" s="9"/>
      <c r="S472" s="9"/>
      <c r="T472" s="9"/>
      <c r="U472" s="9"/>
      <c r="V472" s="9"/>
      <c r="W472" s="9"/>
      <c r="X472" s="9"/>
      <c r="Y472" s="9"/>
      <c r="Z472" s="9"/>
      <c r="AA472" s="9"/>
      <c r="AB472" s="9"/>
      <c r="AC472" s="9"/>
    </row>
    <row r="473" ht="15.75" customHeight="1">
      <c r="B473" s="106"/>
      <c r="C473" s="107"/>
      <c r="D473" s="108"/>
      <c r="E473" s="109"/>
      <c r="F473" s="107"/>
      <c r="G473" s="110"/>
      <c r="H473" s="109"/>
      <c r="I473" s="9"/>
      <c r="J473" s="9"/>
      <c r="K473" s="9"/>
      <c r="L473" s="9"/>
      <c r="M473" s="9"/>
      <c r="N473" s="9"/>
      <c r="O473" s="9"/>
      <c r="P473" s="9"/>
      <c r="Q473" s="9"/>
      <c r="R473" s="9"/>
      <c r="S473" s="9"/>
      <c r="T473" s="9"/>
      <c r="U473" s="9"/>
      <c r="V473" s="9"/>
      <c r="W473" s="9"/>
      <c r="X473" s="9"/>
      <c r="Y473" s="9"/>
      <c r="Z473" s="9"/>
      <c r="AA473" s="9"/>
      <c r="AB473" s="9"/>
      <c r="AC473" s="9"/>
    </row>
    <row r="474" ht="15.75" customHeight="1">
      <c r="B474" s="106"/>
      <c r="C474" s="107"/>
      <c r="D474" s="108"/>
      <c r="E474" s="109"/>
      <c r="F474" s="107"/>
      <c r="G474" s="110"/>
      <c r="H474" s="109"/>
      <c r="I474" s="9"/>
      <c r="J474" s="9"/>
      <c r="K474" s="9"/>
      <c r="L474" s="9"/>
      <c r="M474" s="9"/>
      <c r="N474" s="9"/>
      <c r="O474" s="9"/>
      <c r="P474" s="9"/>
      <c r="Q474" s="9"/>
      <c r="R474" s="9"/>
      <c r="S474" s="9"/>
      <c r="T474" s="9"/>
      <c r="U474" s="9"/>
      <c r="V474" s="9"/>
      <c r="W474" s="9"/>
      <c r="X474" s="9"/>
      <c r="Y474" s="9"/>
      <c r="Z474" s="9"/>
      <c r="AA474" s="9"/>
      <c r="AB474" s="9"/>
      <c r="AC474" s="9"/>
    </row>
    <row r="475" ht="15.75" customHeight="1">
      <c r="B475" s="106"/>
      <c r="C475" s="107"/>
      <c r="D475" s="108"/>
      <c r="E475" s="109"/>
      <c r="F475" s="107"/>
      <c r="G475" s="110"/>
      <c r="H475" s="109"/>
      <c r="I475" s="9"/>
      <c r="J475" s="9"/>
      <c r="K475" s="9"/>
      <c r="L475" s="9"/>
      <c r="M475" s="9"/>
      <c r="N475" s="9"/>
      <c r="O475" s="9"/>
      <c r="P475" s="9"/>
      <c r="Q475" s="9"/>
      <c r="R475" s="9"/>
      <c r="S475" s="9"/>
      <c r="T475" s="9"/>
      <c r="U475" s="9"/>
      <c r="V475" s="9"/>
      <c r="W475" s="9"/>
      <c r="X475" s="9"/>
      <c r="Y475" s="9"/>
      <c r="Z475" s="9"/>
      <c r="AA475" s="9"/>
      <c r="AB475" s="9"/>
      <c r="AC475" s="9"/>
    </row>
    <row r="476" ht="15.75" customHeight="1">
      <c r="B476" s="106"/>
      <c r="C476" s="107"/>
      <c r="D476" s="108"/>
      <c r="E476" s="109"/>
      <c r="F476" s="107"/>
      <c r="G476" s="110"/>
      <c r="H476" s="109"/>
      <c r="I476" s="9"/>
      <c r="J476" s="9"/>
      <c r="K476" s="9"/>
      <c r="L476" s="9"/>
      <c r="M476" s="9"/>
      <c r="N476" s="9"/>
      <c r="O476" s="9"/>
      <c r="P476" s="9"/>
      <c r="Q476" s="9"/>
      <c r="R476" s="9"/>
      <c r="S476" s="9"/>
      <c r="T476" s="9"/>
      <c r="U476" s="9"/>
      <c r="V476" s="9"/>
      <c r="W476" s="9"/>
      <c r="X476" s="9"/>
      <c r="Y476" s="9"/>
      <c r="Z476" s="9"/>
      <c r="AA476" s="9"/>
      <c r="AB476" s="9"/>
      <c r="AC476" s="9"/>
    </row>
    <row r="477" ht="15.75" customHeight="1">
      <c r="B477" s="106"/>
      <c r="C477" s="107"/>
      <c r="D477" s="108"/>
      <c r="E477" s="109"/>
      <c r="F477" s="107"/>
      <c r="G477" s="110"/>
      <c r="H477" s="109"/>
      <c r="I477" s="9"/>
      <c r="J477" s="9"/>
      <c r="K477" s="9"/>
      <c r="L477" s="9"/>
      <c r="M477" s="9"/>
      <c r="N477" s="9"/>
      <c r="O477" s="9"/>
      <c r="P477" s="9"/>
      <c r="Q477" s="9"/>
      <c r="R477" s="9"/>
      <c r="S477" s="9"/>
      <c r="T477" s="9"/>
      <c r="U477" s="9"/>
      <c r="V477" s="9"/>
      <c r="W477" s="9"/>
      <c r="X477" s="9"/>
      <c r="Y477" s="9"/>
      <c r="Z477" s="9"/>
      <c r="AA477" s="9"/>
      <c r="AB477" s="9"/>
      <c r="AC477" s="9"/>
    </row>
    <row r="478" ht="15.75" customHeight="1">
      <c r="B478" s="106"/>
      <c r="C478" s="107"/>
      <c r="D478" s="108"/>
      <c r="E478" s="109"/>
      <c r="F478" s="107"/>
      <c r="G478" s="110"/>
      <c r="H478" s="109"/>
      <c r="I478" s="9"/>
      <c r="J478" s="9"/>
      <c r="K478" s="9"/>
      <c r="L478" s="9"/>
      <c r="M478" s="9"/>
      <c r="N478" s="9"/>
      <c r="O478" s="9"/>
      <c r="P478" s="9"/>
      <c r="Q478" s="9"/>
      <c r="R478" s="9"/>
      <c r="S478" s="9"/>
      <c r="T478" s="9"/>
      <c r="U478" s="9"/>
      <c r="V478" s="9"/>
      <c r="W478" s="9"/>
      <c r="X478" s="9"/>
      <c r="Y478" s="9"/>
      <c r="Z478" s="9"/>
      <c r="AA478" s="9"/>
      <c r="AB478" s="9"/>
      <c r="AC478" s="9"/>
    </row>
    <row r="479" ht="15.75" customHeight="1">
      <c r="B479" s="106"/>
      <c r="C479" s="107"/>
      <c r="D479" s="108"/>
      <c r="E479" s="109"/>
      <c r="F479" s="107"/>
      <c r="G479" s="110"/>
      <c r="H479" s="109"/>
      <c r="I479" s="9"/>
      <c r="J479" s="9"/>
      <c r="K479" s="9"/>
      <c r="L479" s="9"/>
      <c r="M479" s="9"/>
      <c r="N479" s="9"/>
      <c r="O479" s="9"/>
      <c r="P479" s="9"/>
      <c r="Q479" s="9"/>
      <c r="R479" s="9"/>
      <c r="S479" s="9"/>
      <c r="T479" s="9"/>
      <c r="U479" s="9"/>
      <c r="V479" s="9"/>
      <c r="W479" s="9"/>
      <c r="X479" s="9"/>
      <c r="Y479" s="9"/>
      <c r="Z479" s="9"/>
      <c r="AA479" s="9"/>
      <c r="AB479" s="9"/>
      <c r="AC479" s="9"/>
    </row>
    <row r="480" ht="15.75" customHeight="1">
      <c r="B480" s="106"/>
      <c r="C480" s="107"/>
      <c r="D480" s="108"/>
      <c r="E480" s="109"/>
      <c r="F480" s="107"/>
      <c r="G480" s="110"/>
      <c r="H480" s="109"/>
      <c r="I480" s="9"/>
      <c r="J480" s="9"/>
      <c r="K480" s="9"/>
      <c r="L480" s="9"/>
      <c r="M480" s="9"/>
      <c r="N480" s="9"/>
      <c r="O480" s="9"/>
      <c r="P480" s="9"/>
      <c r="Q480" s="9"/>
      <c r="R480" s="9"/>
      <c r="S480" s="9"/>
      <c r="T480" s="9"/>
      <c r="U480" s="9"/>
      <c r="V480" s="9"/>
      <c r="W480" s="9"/>
      <c r="X480" s="9"/>
      <c r="Y480" s="9"/>
      <c r="Z480" s="9"/>
      <c r="AA480" s="9"/>
      <c r="AB480" s="9"/>
      <c r="AC480" s="9"/>
    </row>
    <row r="481" ht="15.75" customHeight="1">
      <c r="B481" s="106"/>
      <c r="C481" s="107"/>
      <c r="D481" s="108"/>
      <c r="E481" s="109"/>
      <c r="F481" s="107"/>
      <c r="G481" s="110"/>
      <c r="H481" s="109"/>
      <c r="I481" s="9"/>
      <c r="J481" s="9"/>
      <c r="K481" s="9"/>
      <c r="L481" s="9"/>
      <c r="M481" s="9"/>
      <c r="N481" s="9"/>
      <c r="O481" s="9"/>
      <c r="P481" s="9"/>
      <c r="Q481" s="9"/>
      <c r="R481" s="9"/>
      <c r="S481" s="9"/>
      <c r="T481" s="9"/>
      <c r="U481" s="9"/>
      <c r="V481" s="9"/>
      <c r="W481" s="9"/>
      <c r="X481" s="9"/>
      <c r="Y481" s="9"/>
      <c r="Z481" s="9"/>
      <c r="AA481" s="9"/>
      <c r="AB481" s="9"/>
      <c r="AC481" s="9"/>
    </row>
    <row r="482" ht="15.75" customHeight="1">
      <c r="B482" s="106"/>
      <c r="C482" s="107"/>
      <c r="D482" s="108"/>
      <c r="E482" s="109"/>
      <c r="F482" s="107"/>
      <c r="G482" s="110"/>
      <c r="H482" s="109"/>
      <c r="I482" s="9"/>
      <c r="J482" s="9"/>
      <c r="K482" s="9"/>
      <c r="L482" s="9"/>
      <c r="M482" s="9"/>
      <c r="N482" s="9"/>
      <c r="O482" s="9"/>
      <c r="P482" s="9"/>
      <c r="Q482" s="9"/>
      <c r="R482" s="9"/>
      <c r="S482" s="9"/>
      <c r="T482" s="9"/>
      <c r="U482" s="9"/>
      <c r="V482" s="9"/>
      <c r="W482" s="9"/>
      <c r="X482" s="9"/>
      <c r="Y482" s="9"/>
      <c r="Z482" s="9"/>
      <c r="AA482" s="9"/>
      <c r="AB482" s="9"/>
      <c r="AC482" s="9"/>
    </row>
    <row r="483" ht="15.75" customHeight="1">
      <c r="B483" s="106"/>
      <c r="C483" s="107"/>
      <c r="D483" s="108"/>
      <c r="E483" s="109"/>
      <c r="F483" s="107"/>
      <c r="G483" s="110"/>
      <c r="H483" s="109"/>
      <c r="I483" s="9"/>
      <c r="J483" s="9"/>
      <c r="K483" s="9"/>
      <c r="L483" s="9"/>
      <c r="M483" s="9"/>
      <c r="N483" s="9"/>
      <c r="O483" s="9"/>
      <c r="P483" s="9"/>
      <c r="Q483" s="9"/>
      <c r="R483" s="9"/>
      <c r="S483" s="9"/>
      <c r="T483" s="9"/>
      <c r="U483" s="9"/>
      <c r="V483" s="9"/>
      <c r="W483" s="9"/>
      <c r="X483" s="9"/>
      <c r="Y483" s="9"/>
      <c r="Z483" s="9"/>
      <c r="AA483" s="9"/>
      <c r="AB483" s="9"/>
      <c r="AC483" s="9"/>
    </row>
    <row r="484" ht="15.75" customHeight="1">
      <c r="B484" s="106"/>
      <c r="C484" s="107"/>
      <c r="D484" s="108"/>
      <c r="E484" s="109"/>
      <c r="F484" s="107"/>
      <c r="G484" s="110"/>
      <c r="H484" s="109"/>
      <c r="I484" s="9"/>
      <c r="J484" s="9"/>
      <c r="K484" s="9"/>
      <c r="L484" s="9"/>
      <c r="M484" s="9"/>
      <c r="N484" s="9"/>
      <c r="O484" s="9"/>
      <c r="P484" s="9"/>
      <c r="Q484" s="9"/>
      <c r="R484" s="9"/>
      <c r="S484" s="9"/>
      <c r="T484" s="9"/>
      <c r="U484" s="9"/>
      <c r="V484" s="9"/>
      <c r="W484" s="9"/>
      <c r="X484" s="9"/>
      <c r="Y484" s="9"/>
      <c r="Z484" s="9"/>
      <c r="AA484" s="9"/>
      <c r="AB484" s="9"/>
      <c r="AC484" s="9"/>
    </row>
    <row r="485" ht="15.75" customHeight="1">
      <c r="B485" s="106"/>
      <c r="C485" s="107"/>
      <c r="D485" s="108"/>
      <c r="E485" s="109"/>
      <c r="F485" s="107"/>
      <c r="G485" s="110"/>
      <c r="H485" s="109"/>
      <c r="I485" s="9"/>
      <c r="J485" s="9"/>
      <c r="K485" s="9"/>
      <c r="L485" s="9"/>
      <c r="M485" s="9"/>
      <c r="N485" s="9"/>
      <c r="O485" s="9"/>
      <c r="P485" s="9"/>
      <c r="Q485" s="9"/>
      <c r="R485" s="9"/>
      <c r="S485" s="9"/>
      <c r="T485" s="9"/>
      <c r="U485" s="9"/>
      <c r="V485" s="9"/>
      <c r="W485" s="9"/>
      <c r="X485" s="9"/>
      <c r="Y485" s="9"/>
      <c r="Z485" s="9"/>
      <c r="AA485" s="9"/>
      <c r="AB485" s="9"/>
      <c r="AC485" s="9"/>
    </row>
    <row r="486" ht="15.75" customHeight="1">
      <c r="B486" s="106"/>
      <c r="C486" s="107"/>
      <c r="D486" s="108"/>
      <c r="E486" s="109"/>
      <c r="F486" s="107"/>
      <c r="G486" s="110"/>
      <c r="H486" s="109"/>
      <c r="I486" s="9"/>
      <c r="J486" s="9"/>
      <c r="K486" s="9"/>
      <c r="L486" s="9"/>
      <c r="M486" s="9"/>
      <c r="N486" s="9"/>
      <c r="O486" s="9"/>
      <c r="P486" s="9"/>
      <c r="Q486" s="9"/>
      <c r="R486" s="9"/>
      <c r="S486" s="9"/>
      <c r="T486" s="9"/>
      <c r="U486" s="9"/>
      <c r="V486" s="9"/>
      <c r="W486" s="9"/>
      <c r="X486" s="9"/>
      <c r="Y486" s="9"/>
      <c r="Z486" s="9"/>
      <c r="AA486" s="9"/>
      <c r="AB486" s="9"/>
      <c r="AC486" s="9"/>
    </row>
    <row r="487" ht="15.75" customHeight="1">
      <c r="B487" s="106"/>
      <c r="C487" s="107"/>
      <c r="D487" s="108"/>
      <c r="E487" s="109"/>
      <c r="F487" s="107"/>
      <c r="G487" s="110"/>
      <c r="H487" s="109"/>
      <c r="I487" s="9"/>
      <c r="J487" s="9"/>
      <c r="K487" s="9"/>
      <c r="L487" s="9"/>
      <c r="M487" s="9"/>
      <c r="N487" s="9"/>
      <c r="O487" s="9"/>
      <c r="P487" s="9"/>
      <c r="Q487" s="9"/>
      <c r="R487" s="9"/>
      <c r="S487" s="9"/>
      <c r="T487" s="9"/>
      <c r="U487" s="9"/>
      <c r="V487" s="9"/>
      <c r="W487" s="9"/>
      <c r="X487" s="9"/>
      <c r="Y487" s="9"/>
      <c r="Z487" s="9"/>
      <c r="AA487" s="9"/>
      <c r="AB487" s="9"/>
      <c r="AC487" s="9"/>
    </row>
    <row r="488" ht="15.75" customHeight="1">
      <c r="B488" s="106"/>
      <c r="C488" s="107"/>
      <c r="D488" s="108"/>
      <c r="E488" s="109"/>
      <c r="F488" s="107"/>
      <c r="G488" s="110"/>
      <c r="H488" s="109"/>
      <c r="I488" s="9"/>
      <c r="J488" s="9"/>
      <c r="K488" s="9"/>
      <c r="L488" s="9"/>
      <c r="M488" s="9"/>
      <c r="N488" s="9"/>
      <c r="O488" s="9"/>
      <c r="P488" s="9"/>
      <c r="Q488" s="9"/>
      <c r="R488" s="9"/>
      <c r="S488" s="9"/>
      <c r="T488" s="9"/>
      <c r="U488" s="9"/>
      <c r="V488" s="9"/>
      <c r="W488" s="9"/>
      <c r="X488" s="9"/>
      <c r="Y488" s="9"/>
      <c r="Z488" s="9"/>
      <c r="AA488" s="9"/>
      <c r="AB488" s="9"/>
      <c r="AC488" s="9"/>
    </row>
    <row r="489" ht="15.75" customHeight="1">
      <c r="B489" s="106"/>
      <c r="C489" s="107"/>
      <c r="D489" s="108"/>
      <c r="E489" s="109"/>
      <c r="F489" s="107"/>
      <c r="G489" s="110"/>
      <c r="H489" s="109"/>
      <c r="I489" s="9"/>
      <c r="J489" s="9"/>
      <c r="K489" s="9"/>
      <c r="L489" s="9"/>
      <c r="M489" s="9"/>
      <c r="N489" s="9"/>
      <c r="O489" s="9"/>
      <c r="P489" s="9"/>
      <c r="Q489" s="9"/>
      <c r="R489" s="9"/>
      <c r="S489" s="9"/>
      <c r="T489" s="9"/>
      <c r="U489" s="9"/>
      <c r="V489" s="9"/>
      <c r="W489" s="9"/>
      <c r="X489" s="9"/>
      <c r="Y489" s="9"/>
      <c r="Z489" s="9"/>
      <c r="AA489" s="9"/>
      <c r="AB489" s="9"/>
      <c r="AC489" s="9"/>
    </row>
    <row r="490" ht="15.75" customHeight="1">
      <c r="B490" s="106"/>
      <c r="C490" s="107"/>
      <c r="D490" s="108"/>
      <c r="E490" s="109"/>
      <c r="F490" s="107"/>
      <c r="G490" s="110"/>
      <c r="H490" s="109"/>
      <c r="I490" s="9"/>
      <c r="J490" s="9"/>
      <c r="K490" s="9"/>
      <c r="L490" s="9"/>
      <c r="M490" s="9"/>
      <c r="N490" s="9"/>
      <c r="O490" s="9"/>
      <c r="P490" s="9"/>
      <c r="Q490" s="9"/>
      <c r="R490" s="9"/>
      <c r="S490" s="9"/>
      <c r="T490" s="9"/>
      <c r="U490" s="9"/>
      <c r="V490" s="9"/>
      <c r="W490" s="9"/>
      <c r="X490" s="9"/>
      <c r="Y490" s="9"/>
      <c r="Z490" s="9"/>
      <c r="AA490" s="9"/>
      <c r="AB490" s="9"/>
      <c r="AC490" s="9"/>
    </row>
    <row r="491" ht="15.75" customHeight="1">
      <c r="B491" s="106"/>
      <c r="C491" s="107"/>
      <c r="D491" s="108"/>
      <c r="E491" s="109"/>
      <c r="F491" s="107"/>
      <c r="G491" s="110"/>
      <c r="H491" s="109"/>
      <c r="I491" s="9"/>
      <c r="J491" s="9"/>
      <c r="K491" s="9"/>
      <c r="L491" s="9"/>
      <c r="M491" s="9"/>
      <c r="N491" s="9"/>
      <c r="O491" s="9"/>
      <c r="P491" s="9"/>
      <c r="Q491" s="9"/>
      <c r="R491" s="9"/>
      <c r="S491" s="9"/>
      <c r="T491" s="9"/>
      <c r="U491" s="9"/>
      <c r="V491" s="9"/>
      <c r="W491" s="9"/>
      <c r="X491" s="9"/>
      <c r="Y491" s="9"/>
      <c r="Z491" s="9"/>
      <c r="AA491" s="9"/>
      <c r="AB491" s="9"/>
      <c r="AC491" s="9"/>
    </row>
    <row r="492" ht="15.75" customHeight="1">
      <c r="B492" s="106"/>
      <c r="C492" s="107"/>
      <c r="D492" s="108"/>
      <c r="E492" s="109"/>
      <c r="F492" s="107"/>
      <c r="G492" s="110"/>
      <c r="H492" s="109"/>
      <c r="I492" s="9"/>
      <c r="J492" s="9"/>
      <c r="K492" s="9"/>
      <c r="L492" s="9"/>
      <c r="M492" s="9"/>
      <c r="N492" s="9"/>
      <c r="O492" s="9"/>
      <c r="P492" s="9"/>
      <c r="Q492" s="9"/>
      <c r="R492" s="9"/>
      <c r="S492" s="9"/>
      <c r="T492" s="9"/>
      <c r="U492" s="9"/>
      <c r="V492" s="9"/>
      <c r="W492" s="9"/>
      <c r="X492" s="9"/>
      <c r="Y492" s="9"/>
      <c r="Z492" s="9"/>
      <c r="AA492" s="9"/>
      <c r="AB492" s="9"/>
      <c r="AC492" s="9"/>
    </row>
    <row r="493" ht="15.75" customHeight="1">
      <c r="B493" s="106"/>
      <c r="C493" s="107"/>
      <c r="D493" s="108"/>
      <c r="E493" s="109"/>
      <c r="F493" s="107"/>
      <c r="G493" s="110"/>
      <c r="H493" s="109"/>
      <c r="I493" s="9"/>
      <c r="J493" s="9"/>
      <c r="K493" s="9"/>
      <c r="L493" s="9"/>
      <c r="M493" s="9"/>
      <c r="N493" s="9"/>
      <c r="O493" s="9"/>
      <c r="P493" s="9"/>
      <c r="Q493" s="9"/>
      <c r="R493" s="9"/>
      <c r="S493" s="9"/>
      <c r="T493" s="9"/>
      <c r="U493" s="9"/>
      <c r="V493" s="9"/>
      <c r="W493" s="9"/>
      <c r="X493" s="9"/>
      <c r="Y493" s="9"/>
      <c r="Z493" s="9"/>
      <c r="AA493" s="9"/>
      <c r="AB493" s="9"/>
      <c r="AC493" s="9"/>
    </row>
    <row r="494" ht="15.75" customHeight="1">
      <c r="B494" s="106"/>
      <c r="C494" s="107"/>
      <c r="D494" s="108"/>
      <c r="E494" s="109"/>
      <c r="F494" s="107"/>
      <c r="G494" s="110"/>
      <c r="H494" s="109"/>
      <c r="I494" s="9"/>
      <c r="J494" s="9"/>
      <c r="K494" s="9"/>
      <c r="L494" s="9"/>
      <c r="M494" s="9"/>
      <c r="N494" s="9"/>
      <c r="O494" s="9"/>
      <c r="P494" s="9"/>
      <c r="Q494" s="9"/>
      <c r="R494" s="9"/>
      <c r="S494" s="9"/>
      <c r="T494" s="9"/>
      <c r="U494" s="9"/>
      <c r="V494" s="9"/>
      <c r="W494" s="9"/>
      <c r="X494" s="9"/>
      <c r="Y494" s="9"/>
      <c r="Z494" s="9"/>
      <c r="AA494" s="9"/>
      <c r="AB494" s="9"/>
      <c r="AC494" s="9"/>
    </row>
    <row r="495" ht="15.75" customHeight="1">
      <c r="B495" s="106"/>
      <c r="C495" s="107"/>
      <c r="D495" s="108"/>
      <c r="E495" s="109"/>
      <c r="F495" s="107"/>
      <c r="G495" s="110"/>
      <c r="H495" s="109"/>
      <c r="I495" s="9"/>
      <c r="J495" s="9"/>
      <c r="K495" s="9"/>
      <c r="L495" s="9"/>
      <c r="M495" s="9"/>
      <c r="N495" s="9"/>
      <c r="O495" s="9"/>
      <c r="P495" s="9"/>
      <c r="Q495" s="9"/>
      <c r="R495" s="9"/>
      <c r="S495" s="9"/>
      <c r="T495" s="9"/>
      <c r="U495" s="9"/>
      <c r="V495" s="9"/>
      <c r="W495" s="9"/>
      <c r="X495" s="9"/>
      <c r="Y495" s="9"/>
      <c r="Z495" s="9"/>
      <c r="AA495" s="9"/>
      <c r="AB495" s="9"/>
      <c r="AC495" s="9"/>
    </row>
    <row r="496" ht="15.75" customHeight="1">
      <c r="B496" s="106"/>
      <c r="C496" s="107"/>
      <c r="D496" s="108"/>
      <c r="E496" s="109"/>
      <c r="F496" s="107"/>
      <c r="G496" s="110"/>
      <c r="H496" s="109"/>
      <c r="I496" s="9"/>
      <c r="J496" s="9"/>
      <c r="K496" s="9"/>
      <c r="L496" s="9"/>
      <c r="M496" s="9"/>
      <c r="N496" s="9"/>
      <c r="O496" s="9"/>
      <c r="P496" s="9"/>
      <c r="Q496" s="9"/>
      <c r="R496" s="9"/>
      <c r="S496" s="9"/>
      <c r="T496" s="9"/>
      <c r="U496" s="9"/>
      <c r="V496" s="9"/>
      <c r="W496" s="9"/>
      <c r="X496" s="9"/>
      <c r="Y496" s="9"/>
      <c r="Z496" s="9"/>
      <c r="AA496" s="9"/>
      <c r="AB496" s="9"/>
      <c r="AC496" s="9"/>
    </row>
    <row r="497" ht="15.75" customHeight="1">
      <c r="B497" s="106"/>
      <c r="C497" s="107"/>
      <c r="D497" s="108"/>
      <c r="E497" s="109"/>
      <c r="F497" s="107"/>
      <c r="G497" s="110"/>
      <c r="H497" s="109"/>
      <c r="I497" s="9"/>
      <c r="J497" s="9"/>
      <c r="K497" s="9"/>
      <c r="L497" s="9"/>
      <c r="M497" s="9"/>
      <c r="N497" s="9"/>
      <c r="O497" s="9"/>
      <c r="P497" s="9"/>
      <c r="Q497" s="9"/>
      <c r="R497" s="9"/>
      <c r="S497" s="9"/>
      <c r="T497" s="9"/>
      <c r="U497" s="9"/>
      <c r="V497" s="9"/>
      <c r="W497" s="9"/>
      <c r="X497" s="9"/>
      <c r="Y497" s="9"/>
      <c r="Z497" s="9"/>
      <c r="AA497" s="9"/>
      <c r="AB497" s="9"/>
      <c r="AC497" s="9"/>
    </row>
    <row r="498" ht="15.75" customHeight="1">
      <c r="B498" s="106"/>
      <c r="C498" s="107"/>
      <c r="D498" s="108"/>
      <c r="E498" s="109"/>
      <c r="F498" s="107"/>
      <c r="G498" s="110"/>
      <c r="H498" s="109"/>
      <c r="I498" s="9"/>
      <c r="J498" s="9"/>
      <c r="K498" s="9"/>
      <c r="L498" s="9"/>
      <c r="M498" s="9"/>
      <c r="N498" s="9"/>
      <c r="O498" s="9"/>
      <c r="P498" s="9"/>
      <c r="Q498" s="9"/>
      <c r="R498" s="9"/>
      <c r="S498" s="9"/>
      <c r="T498" s="9"/>
      <c r="U498" s="9"/>
      <c r="V498" s="9"/>
      <c r="W498" s="9"/>
      <c r="X498" s="9"/>
      <c r="Y498" s="9"/>
      <c r="Z498" s="9"/>
      <c r="AA498" s="9"/>
      <c r="AB498" s="9"/>
      <c r="AC498" s="9"/>
    </row>
    <row r="499" ht="15.75" customHeight="1">
      <c r="B499" s="106"/>
      <c r="C499" s="107"/>
      <c r="D499" s="108"/>
      <c r="E499" s="109"/>
      <c r="F499" s="107"/>
      <c r="G499" s="110"/>
      <c r="H499" s="109"/>
      <c r="I499" s="9"/>
      <c r="J499" s="9"/>
      <c r="K499" s="9"/>
      <c r="L499" s="9"/>
      <c r="M499" s="9"/>
      <c r="N499" s="9"/>
      <c r="O499" s="9"/>
      <c r="P499" s="9"/>
      <c r="Q499" s="9"/>
      <c r="R499" s="9"/>
      <c r="S499" s="9"/>
      <c r="T499" s="9"/>
      <c r="U499" s="9"/>
      <c r="V499" s="9"/>
      <c r="W499" s="9"/>
      <c r="X499" s="9"/>
      <c r="Y499" s="9"/>
      <c r="Z499" s="9"/>
      <c r="AA499" s="9"/>
      <c r="AB499" s="9"/>
      <c r="AC499" s="9"/>
    </row>
    <row r="500" ht="15.75" customHeight="1">
      <c r="B500" s="106"/>
      <c r="C500" s="107"/>
      <c r="D500" s="108"/>
      <c r="E500" s="109"/>
      <c r="F500" s="107"/>
      <c r="G500" s="110"/>
      <c r="H500" s="109"/>
      <c r="I500" s="9"/>
      <c r="J500" s="9"/>
      <c r="K500" s="9"/>
      <c r="L500" s="9"/>
      <c r="M500" s="9"/>
      <c r="N500" s="9"/>
      <c r="O500" s="9"/>
      <c r="P500" s="9"/>
      <c r="Q500" s="9"/>
      <c r="R500" s="9"/>
      <c r="S500" s="9"/>
      <c r="T500" s="9"/>
      <c r="U500" s="9"/>
      <c r="V500" s="9"/>
      <c r="W500" s="9"/>
      <c r="X500" s="9"/>
      <c r="Y500" s="9"/>
      <c r="Z500" s="9"/>
      <c r="AA500" s="9"/>
      <c r="AB500" s="9"/>
      <c r="AC500" s="9"/>
    </row>
    <row r="501" ht="15.75" customHeight="1">
      <c r="B501" s="106"/>
      <c r="C501" s="107"/>
      <c r="D501" s="108"/>
      <c r="E501" s="109"/>
      <c r="F501" s="107"/>
      <c r="G501" s="110"/>
      <c r="H501" s="109"/>
      <c r="I501" s="9"/>
      <c r="J501" s="9"/>
      <c r="K501" s="9"/>
      <c r="L501" s="9"/>
      <c r="M501" s="9"/>
      <c r="N501" s="9"/>
      <c r="O501" s="9"/>
      <c r="P501" s="9"/>
      <c r="Q501" s="9"/>
      <c r="R501" s="9"/>
      <c r="S501" s="9"/>
      <c r="T501" s="9"/>
      <c r="U501" s="9"/>
      <c r="V501" s="9"/>
      <c r="W501" s="9"/>
      <c r="X501" s="9"/>
      <c r="Y501" s="9"/>
      <c r="Z501" s="9"/>
      <c r="AA501" s="9"/>
      <c r="AB501" s="9"/>
      <c r="AC501" s="9"/>
    </row>
    <row r="502" ht="15.75" customHeight="1">
      <c r="B502" s="106"/>
      <c r="C502" s="107"/>
      <c r="D502" s="108"/>
      <c r="E502" s="109"/>
      <c r="F502" s="107"/>
      <c r="G502" s="110"/>
      <c r="H502" s="109"/>
      <c r="I502" s="9"/>
      <c r="J502" s="9"/>
      <c r="K502" s="9"/>
      <c r="L502" s="9"/>
      <c r="M502" s="9"/>
      <c r="N502" s="9"/>
      <c r="O502" s="9"/>
      <c r="P502" s="9"/>
      <c r="Q502" s="9"/>
      <c r="R502" s="9"/>
      <c r="S502" s="9"/>
      <c r="T502" s="9"/>
      <c r="U502" s="9"/>
      <c r="V502" s="9"/>
      <c r="W502" s="9"/>
      <c r="X502" s="9"/>
      <c r="Y502" s="9"/>
      <c r="Z502" s="9"/>
      <c r="AA502" s="9"/>
      <c r="AB502" s="9"/>
      <c r="AC502" s="9"/>
    </row>
    <row r="503" ht="15.75" customHeight="1">
      <c r="B503" s="106"/>
      <c r="C503" s="107"/>
      <c r="D503" s="108"/>
      <c r="E503" s="109"/>
      <c r="F503" s="107"/>
      <c r="G503" s="110"/>
      <c r="H503" s="109"/>
      <c r="I503" s="9"/>
      <c r="J503" s="9"/>
      <c r="K503" s="9"/>
      <c r="L503" s="9"/>
      <c r="M503" s="9"/>
      <c r="N503" s="9"/>
      <c r="O503" s="9"/>
      <c r="P503" s="9"/>
      <c r="Q503" s="9"/>
      <c r="R503" s="9"/>
      <c r="S503" s="9"/>
      <c r="T503" s="9"/>
      <c r="U503" s="9"/>
      <c r="V503" s="9"/>
      <c r="W503" s="9"/>
      <c r="X503" s="9"/>
      <c r="Y503" s="9"/>
      <c r="Z503" s="9"/>
      <c r="AA503" s="9"/>
      <c r="AB503" s="9"/>
      <c r="AC503" s="9"/>
    </row>
    <row r="504" ht="15.75" customHeight="1">
      <c r="B504" s="106"/>
      <c r="C504" s="107"/>
      <c r="D504" s="108"/>
      <c r="E504" s="109"/>
      <c r="F504" s="107"/>
      <c r="G504" s="110"/>
      <c r="H504" s="109"/>
      <c r="I504" s="9"/>
      <c r="J504" s="9"/>
      <c r="K504" s="9"/>
      <c r="L504" s="9"/>
      <c r="M504" s="9"/>
      <c r="N504" s="9"/>
      <c r="O504" s="9"/>
      <c r="P504" s="9"/>
      <c r="Q504" s="9"/>
      <c r="R504" s="9"/>
      <c r="S504" s="9"/>
      <c r="T504" s="9"/>
      <c r="U504" s="9"/>
      <c r="V504" s="9"/>
      <c r="W504" s="9"/>
      <c r="X504" s="9"/>
      <c r="Y504" s="9"/>
      <c r="Z504" s="9"/>
      <c r="AA504" s="9"/>
      <c r="AB504" s="9"/>
      <c r="AC504" s="9"/>
    </row>
    <row r="505" ht="15.75" customHeight="1">
      <c r="B505" s="106"/>
      <c r="C505" s="107"/>
      <c r="D505" s="108"/>
      <c r="E505" s="109"/>
      <c r="F505" s="107"/>
      <c r="G505" s="110"/>
      <c r="H505" s="109"/>
      <c r="I505" s="9"/>
      <c r="J505" s="9"/>
      <c r="K505" s="9"/>
      <c r="L505" s="9"/>
      <c r="M505" s="9"/>
      <c r="N505" s="9"/>
      <c r="O505" s="9"/>
      <c r="P505" s="9"/>
      <c r="Q505" s="9"/>
      <c r="R505" s="9"/>
      <c r="S505" s="9"/>
      <c r="T505" s="9"/>
      <c r="U505" s="9"/>
      <c r="V505" s="9"/>
      <c r="W505" s="9"/>
      <c r="X505" s="9"/>
      <c r="Y505" s="9"/>
      <c r="Z505" s="9"/>
      <c r="AA505" s="9"/>
      <c r="AB505" s="9"/>
      <c r="AC505" s="9"/>
    </row>
    <row r="506" ht="15.75" customHeight="1">
      <c r="B506" s="106"/>
      <c r="C506" s="107"/>
      <c r="D506" s="108"/>
      <c r="E506" s="109"/>
      <c r="F506" s="107"/>
      <c r="G506" s="110"/>
      <c r="H506" s="109"/>
      <c r="I506" s="9"/>
      <c r="J506" s="9"/>
      <c r="K506" s="9"/>
      <c r="L506" s="9"/>
      <c r="M506" s="9"/>
      <c r="N506" s="9"/>
      <c r="O506" s="9"/>
      <c r="P506" s="9"/>
      <c r="Q506" s="9"/>
      <c r="R506" s="9"/>
      <c r="S506" s="9"/>
      <c r="T506" s="9"/>
      <c r="U506" s="9"/>
      <c r="V506" s="9"/>
      <c r="W506" s="9"/>
      <c r="X506" s="9"/>
      <c r="Y506" s="9"/>
      <c r="Z506" s="9"/>
      <c r="AA506" s="9"/>
      <c r="AB506" s="9"/>
      <c r="AC506" s="9"/>
    </row>
    <row r="507" ht="15.75" customHeight="1">
      <c r="B507" s="106"/>
      <c r="C507" s="107"/>
      <c r="D507" s="108"/>
      <c r="E507" s="109"/>
      <c r="F507" s="107"/>
      <c r="G507" s="110"/>
      <c r="H507" s="109"/>
      <c r="I507" s="9"/>
      <c r="J507" s="9"/>
      <c r="K507" s="9"/>
      <c r="L507" s="9"/>
      <c r="M507" s="9"/>
      <c r="N507" s="9"/>
      <c r="O507" s="9"/>
      <c r="P507" s="9"/>
      <c r="Q507" s="9"/>
      <c r="R507" s="9"/>
      <c r="S507" s="9"/>
      <c r="T507" s="9"/>
      <c r="U507" s="9"/>
      <c r="V507" s="9"/>
      <c r="W507" s="9"/>
      <c r="X507" s="9"/>
      <c r="Y507" s="9"/>
      <c r="Z507" s="9"/>
      <c r="AA507" s="9"/>
      <c r="AB507" s="9"/>
      <c r="AC507" s="9"/>
    </row>
    <row r="508" ht="15.75" customHeight="1">
      <c r="B508" s="106"/>
      <c r="C508" s="107"/>
      <c r="D508" s="108"/>
      <c r="E508" s="109"/>
      <c r="F508" s="107"/>
      <c r="G508" s="110"/>
      <c r="H508" s="109"/>
      <c r="I508" s="9"/>
      <c r="J508" s="9"/>
      <c r="K508" s="9"/>
      <c r="L508" s="9"/>
      <c r="M508" s="9"/>
      <c r="N508" s="9"/>
      <c r="O508" s="9"/>
      <c r="P508" s="9"/>
      <c r="Q508" s="9"/>
      <c r="R508" s="9"/>
      <c r="S508" s="9"/>
      <c r="T508" s="9"/>
      <c r="U508" s="9"/>
      <c r="V508" s="9"/>
      <c r="W508" s="9"/>
      <c r="X508" s="9"/>
      <c r="Y508" s="9"/>
      <c r="Z508" s="9"/>
      <c r="AA508" s="9"/>
      <c r="AB508" s="9"/>
      <c r="AC508" s="9"/>
    </row>
    <row r="509" ht="15.75" customHeight="1">
      <c r="B509" s="106"/>
      <c r="C509" s="107"/>
      <c r="D509" s="108"/>
      <c r="E509" s="109"/>
      <c r="F509" s="107"/>
      <c r="G509" s="110"/>
      <c r="H509" s="109"/>
      <c r="I509" s="9"/>
      <c r="J509" s="9"/>
      <c r="K509" s="9"/>
      <c r="L509" s="9"/>
      <c r="M509" s="9"/>
      <c r="N509" s="9"/>
      <c r="O509" s="9"/>
      <c r="P509" s="9"/>
      <c r="Q509" s="9"/>
      <c r="R509" s="9"/>
      <c r="S509" s="9"/>
      <c r="T509" s="9"/>
      <c r="U509" s="9"/>
      <c r="V509" s="9"/>
      <c r="W509" s="9"/>
      <c r="X509" s="9"/>
      <c r="Y509" s="9"/>
      <c r="Z509" s="9"/>
      <c r="AA509" s="9"/>
      <c r="AB509" s="9"/>
      <c r="AC509" s="9"/>
    </row>
    <row r="510" ht="15.75" customHeight="1">
      <c r="B510" s="106"/>
      <c r="C510" s="107"/>
      <c r="D510" s="108"/>
      <c r="E510" s="109"/>
      <c r="F510" s="107"/>
      <c r="G510" s="110"/>
      <c r="H510" s="109"/>
      <c r="I510" s="9"/>
      <c r="J510" s="9"/>
      <c r="K510" s="9"/>
      <c r="L510" s="9"/>
      <c r="M510" s="9"/>
      <c r="N510" s="9"/>
      <c r="O510" s="9"/>
      <c r="P510" s="9"/>
      <c r="Q510" s="9"/>
      <c r="R510" s="9"/>
      <c r="S510" s="9"/>
      <c r="T510" s="9"/>
      <c r="U510" s="9"/>
      <c r="V510" s="9"/>
      <c r="W510" s="9"/>
      <c r="X510" s="9"/>
      <c r="Y510" s="9"/>
      <c r="Z510" s="9"/>
      <c r="AA510" s="9"/>
      <c r="AB510" s="9"/>
      <c r="AC510" s="9"/>
    </row>
    <row r="511" ht="15.75" customHeight="1">
      <c r="B511" s="106"/>
      <c r="C511" s="107"/>
      <c r="D511" s="108"/>
      <c r="E511" s="109"/>
      <c r="F511" s="107"/>
      <c r="G511" s="110"/>
      <c r="H511" s="109"/>
      <c r="I511" s="9"/>
      <c r="J511" s="9"/>
      <c r="K511" s="9"/>
      <c r="L511" s="9"/>
      <c r="M511" s="9"/>
      <c r="N511" s="9"/>
      <c r="O511" s="9"/>
      <c r="P511" s="9"/>
      <c r="Q511" s="9"/>
      <c r="R511" s="9"/>
      <c r="S511" s="9"/>
      <c r="T511" s="9"/>
      <c r="U511" s="9"/>
      <c r="V511" s="9"/>
      <c r="W511" s="9"/>
      <c r="X511" s="9"/>
      <c r="Y511" s="9"/>
      <c r="Z511" s="9"/>
      <c r="AA511" s="9"/>
      <c r="AB511" s="9"/>
      <c r="AC511" s="9"/>
    </row>
    <row r="512" ht="15.75" customHeight="1">
      <c r="B512" s="106"/>
      <c r="C512" s="107"/>
      <c r="D512" s="108"/>
      <c r="E512" s="109"/>
      <c r="F512" s="107"/>
      <c r="G512" s="110"/>
      <c r="H512" s="109"/>
      <c r="I512" s="9"/>
      <c r="J512" s="9"/>
      <c r="K512" s="9"/>
      <c r="L512" s="9"/>
      <c r="M512" s="9"/>
      <c r="N512" s="9"/>
      <c r="O512" s="9"/>
      <c r="P512" s="9"/>
      <c r="Q512" s="9"/>
      <c r="R512" s="9"/>
      <c r="S512" s="9"/>
      <c r="T512" s="9"/>
      <c r="U512" s="9"/>
      <c r="V512" s="9"/>
      <c r="W512" s="9"/>
      <c r="X512" s="9"/>
      <c r="Y512" s="9"/>
      <c r="Z512" s="9"/>
      <c r="AA512" s="9"/>
      <c r="AB512" s="9"/>
      <c r="AC512" s="9"/>
    </row>
    <row r="513" ht="15.75" customHeight="1">
      <c r="B513" s="106"/>
      <c r="C513" s="107"/>
      <c r="D513" s="108"/>
      <c r="E513" s="109"/>
      <c r="F513" s="107"/>
      <c r="G513" s="110"/>
      <c r="H513" s="109"/>
      <c r="I513" s="9"/>
      <c r="J513" s="9"/>
      <c r="K513" s="9"/>
      <c r="L513" s="9"/>
      <c r="M513" s="9"/>
      <c r="N513" s="9"/>
      <c r="O513" s="9"/>
      <c r="P513" s="9"/>
      <c r="Q513" s="9"/>
      <c r="R513" s="9"/>
      <c r="S513" s="9"/>
      <c r="T513" s="9"/>
      <c r="U513" s="9"/>
      <c r="V513" s="9"/>
      <c r="W513" s="9"/>
      <c r="X513" s="9"/>
      <c r="Y513" s="9"/>
      <c r="Z513" s="9"/>
      <c r="AA513" s="9"/>
      <c r="AB513" s="9"/>
      <c r="AC513" s="9"/>
    </row>
    <row r="514" ht="15.75" customHeight="1">
      <c r="B514" s="106"/>
      <c r="C514" s="107"/>
      <c r="D514" s="108"/>
      <c r="E514" s="109"/>
      <c r="F514" s="107"/>
      <c r="G514" s="110"/>
      <c r="H514" s="109"/>
      <c r="I514" s="9"/>
      <c r="J514" s="9"/>
      <c r="K514" s="9"/>
      <c r="L514" s="9"/>
      <c r="M514" s="9"/>
      <c r="N514" s="9"/>
      <c r="O514" s="9"/>
      <c r="P514" s="9"/>
      <c r="Q514" s="9"/>
      <c r="R514" s="9"/>
      <c r="S514" s="9"/>
      <c r="T514" s="9"/>
      <c r="U514" s="9"/>
      <c r="V514" s="9"/>
      <c r="W514" s="9"/>
      <c r="X514" s="9"/>
      <c r="Y514" s="9"/>
      <c r="Z514" s="9"/>
      <c r="AA514" s="9"/>
      <c r="AB514" s="9"/>
      <c r="AC514" s="9"/>
    </row>
    <row r="515" ht="15.75" customHeight="1">
      <c r="B515" s="106"/>
      <c r="C515" s="107"/>
      <c r="D515" s="108"/>
      <c r="E515" s="109"/>
      <c r="F515" s="107"/>
      <c r="G515" s="110"/>
      <c r="H515" s="109"/>
      <c r="I515" s="9"/>
      <c r="J515" s="9"/>
      <c r="K515" s="9"/>
      <c r="L515" s="9"/>
      <c r="M515" s="9"/>
      <c r="N515" s="9"/>
      <c r="O515" s="9"/>
      <c r="P515" s="9"/>
      <c r="Q515" s="9"/>
      <c r="R515" s="9"/>
      <c r="S515" s="9"/>
      <c r="T515" s="9"/>
      <c r="U515" s="9"/>
      <c r="V515" s="9"/>
      <c r="W515" s="9"/>
      <c r="X515" s="9"/>
      <c r="Y515" s="9"/>
      <c r="Z515" s="9"/>
      <c r="AA515" s="9"/>
      <c r="AB515" s="9"/>
      <c r="AC515" s="9"/>
    </row>
    <row r="516" ht="15.75" customHeight="1">
      <c r="B516" s="106"/>
      <c r="C516" s="107"/>
      <c r="D516" s="108"/>
      <c r="E516" s="109"/>
      <c r="F516" s="107"/>
      <c r="G516" s="110"/>
      <c r="H516" s="109"/>
      <c r="I516" s="9"/>
      <c r="J516" s="9"/>
      <c r="K516" s="9"/>
      <c r="L516" s="9"/>
      <c r="M516" s="9"/>
      <c r="N516" s="9"/>
      <c r="O516" s="9"/>
      <c r="P516" s="9"/>
      <c r="Q516" s="9"/>
      <c r="R516" s="9"/>
      <c r="S516" s="9"/>
      <c r="T516" s="9"/>
      <c r="U516" s="9"/>
      <c r="V516" s="9"/>
      <c r="W516" s="9"/>
      <c r="X516" s="9"/>
      <c r="Y516" s="9"/>
      <c r="Z516" s="9"/>
      <c r="AA516" s="9"/>
      <c r="AB516" s="9"/>
      <c r="AC516" s="9"/>
    </row>
    <row r="517" ht="15.75" customHeight="1">
      <c r="B517" s="106"/>
      <c r="C517" s="107"/>
      <c r="D517" s="108"/>
      <c r="E517" s="109"/>
      <c r="F517" s="107"/>
      <c r="G517" s="110"/>
      <c r="H517" s="109"/>
      <c r="I517" s="9"/>
      <c r="J517" s="9"/>
      <c r="K517" s="9"/>
      <c r="L517" s="9"/>
      <c r="M517" s="9"/>
      <c r="N517" s="9"/>
      <c r="O517" s="9"/>
      <c r="P517" s="9"/>
      <c r="Q517" s="9"/>
      <c r="R517" s="9"/>
      <c r="S517" s="9"/>
      <c r="T517" s="9"/>
      <c r="U517" s="9"/>
      <c r="V517" s="9"/>
      <c r="W517" s="9"/>
      <c r="X517" s="9"/>
      <c r="Y517" s="9"/>
      <c r="Z517" s="9"/>
      <c r="AA517" s="9"/>
      <c r="AB517" s="9"/>
      <c r="AC517" s="9"/>
    </row>
    <row r="518" ht="15.75" customHeight="1">
      <c r="B518" s="106"/>
      <c r="C518" s="107"/>
      <c r="D518" s="108"/>
      <c r="E518" s="109"/>
      <c r="F518" s="107"/>
      <c r="G518" s="110"/>
      <c r="H518" s="109"/>
      <c r="I518" s="9"/>
      <c r="J518" s="9"/>
      <c r="K518" s="9"/>
      <c r="L518" s="9"/>
      <c r="M518" s="9"/>
      <c r="N518" s="9"/>
      <c r="O518" s="9"/>
      <c r="P518" s="9"/>
      <c r="Q518" s="9"/>
      <c r="R518" s="9"/>
      <c r="S518" s="9"/>
      <c r="T518" s="9"/>
      <c r="U518" s="9"/>
      <c r="V518" s="9"/>
      <c r="W518" s="9"/>
      <c r="X518" s="9"/>
      <c r="Y518" s="9"/>
      <c r="Z518" s="9"/>
      <c r="AA518" s="9"/>
      <c r="AB518" s="9"/>
      <c r="AC518" s="9"/>
    </row>
    <row r="519" ht="15.75" customHeight="1">
      <c r="B519" s="106"/>
      <c r="C519" s="107"/>
      <c r="D519" s="108"/>
      <c r="E519" s="109"/>
      <c r="F519" s="107"/>
      <c r="G519" s="110"/>
      <c r="H519" s="109"/>
      <c r="I519" s="9"/>
      <c r="J519" s="9"/>
      <c r="K519" s="9"/>
      <c r="L519" s="9"/>
      <c r="M519" s="9"/>
      <c r="N519" s="9"/>
      <c r="O519" s="9"/>
      <c r="P519" s="9"/>
      <c r="Q519" s="9"/>
      <c r="R519" s="9"/>
      <c r="S519" s="9"/>
      <c r="T519" s="9"/>
      <c r="U519" s="9"/>
      <c r="V519" s="9"/>
      <c r="W519" s="9"/>
      <c r="X519" s="9"/>
      <c r="Y519" s="9"/>
      <c r="Z519" s="9"/>
      <c r="AA519" s="9"/>
      <c r="AB519" s="9"/>
      <c r="AC519" s="9"/>
    </row>
    <row r="520" ht="15.75" customHeight="1">
      <c r="B520" s="106"/>
      <c r="C520" s="107"/>
      <c r="D520" s="108"/>
      <c r="E520" s="109"/>
      <c r="F520" s="107"/>
      <c r="G520" s="110"/>
      <c r="H520" s="109"/>
      <c r="I520" s="9"/>
      <c r="J520" s="9"/>
      <c r="K520" s="9"/>
      <c r="L520" s="9"/>
      <c r="M520" s="9"/>
      <c r="N520" s="9"/>
      <c r="O520" s="9"/>
      <c r="P520" s="9"/>
      <c r="Q520" s="9"/>
      <c r="R520" s="9"/>
      <c r="S520" s="9"/>
      <c r="T520" s="9"/>
      <c r="U520" s="9"/>
      <c r="V520" s="9"/>
      <c r="W520" s="9"/>
      <c r="X520" s="9"/>
      <c r="Y520" s="9"/>
      <c r="Z520" s="9"/>
      <c r="AA520" s="9"/>
      <c r="AB520" s="9"/>
      <c r="AC520" s="9"/>
    </row>
    <row r="521" ht="15.75" customHeight="1">
      <c r="B521" s="106"/>
      <c r="C521" s="107"/>
      <c r="D521" s="108"/>
      <c r="E521" s="109"/>
      <c r="F521" s="107"/>
      <c r="G521" s="110"/>
      <c r="H521" s="109"/>
      <c r="I521" s="9"/>
      <c r="J521" s="9"/>
      <c r="K521" s="9"/>
      <c r="L521" s="9"/>
      <c r="M521" s="9"/>
      <c r="N521" s="9"/>
      <c r="O521" s="9"/>
      <c r="P521" s="9"/>
      <c r="Q521" s="9"/>
      <c r="R521" s="9"/>
      <c r="S521" s="9"/>
      <c r="T521" s="9"/>
      <c r="U521" s="9"/>
      <c r="V521" s="9"/>
      <c r="W521" s="9"/>
      <c r="X521" s="9"/>
      <c r="Y521" s="9"/>
      <c r="Z521" s="9"/>
      <c r="AA521" s="9"/>
      <c r="AB521" s="9"/>
      <c r="AC521" s="9"/>
    </row>
    <row r="522" ht="15.75" customHeight="1">
      <c r="B522" s="106"/>
      <c r="C522" s="107"/>
      <c r="D522" s="108"/>
      <c r="E522" s="109"/>
      <c r="F522" s="107"/>
      <c r="G522" s="110"/>
      <c r="H522" s="109"/>
      <c r="I522" s="9"/>
      <c r="J522" s="9"/>
      <c r="K522" s="9"/>
      <c r="L522" s="9"/>
      <c r="M522" s="9"/>
      <c r="N522" s="9"/>
      <c r="O522" s="9"/>
      <c r="P522" s="9"/>
      <c r="Q522" s="9"/>
      <c r="R522" s="9"/>
      <c r="S522" s="9"/>
      <c r="T522" s="9"/>
      <c r="U522" s="9"/>
      <c r="V522" s="9"/>
      <c r="W522" s="9"/>
      <c r="X522" s="9"/>
      <c r="Y522" s="9"/>
      <c r="Z522" s="9"/>
      <c r="AA522" s="9"/>
      <c r="AB522" s="9"/>
      <c r="AC522" s="9"/>
    </row>
    <row r="523" ht="15.75" customHeight="1">
      <c r="B523" s="106"/>
      <c r="C523" s="107"/>
      <c r="D523" s="108"/>
      <c r="E523" s="109"/>
      <c r="F523" s="107"/>
      <c r="G523" s="110"/>
      <c r="H523" s="109"/>
      <c r="I523" s="9"/>
      <c r="J523" s="9"/>
      <c r="K523" s="9"/>
      <c r="L523" s="9"/>
      <c r="M523" s="9"/>
      <c r="N523" s="9"/>
      <c r="O523" s="9"/>
      <c r="P523" s="9"/>
      <c r="Q523" s="9"/>
      <c r="R523" s="9"/>
      <c r="S523" s="9"/>
      <c r="T523" s="9"/>
      <c r="U523" s="9"/>
      <c r="V523" s="9"/>
      <c r="W523" s="9"/>
      <c r="X523" s="9"/>
      <c r="Y523" s="9"/>
      <c r="Z523" s="9"/>
      <c r="AA523" s="9"/>
      <c r="AB523" s="9"/>
      <c r="AC523" s="9"/>
    </row>
    <row r="524" ht="15.75" customHeight="1">
      <c r="B524" s="106"/>
      <c r="C524" s="107"/>
      <c r="D524" s="108"/>
      <c r="E524" s="109"/>
      <c r="F524" s="107"/>
      <c r="G524" s="110"/>
      <c r="H524" s="109"/>
      <c r="I524" s="9"/>
      <c r="J524" s="9"/>
      <c r="K524" s="9"/>
      <c r="L524" s="9"/>
      <c r="M524" s="9"/>
      <c r="N524" s="9"/>
      <c r="O524" s="9"/>
      <c r="P524" s="9"/>
      <c r="Q524" s="9"/>
      <c r="R524" s="9"/>
      <c r="S524" s="9"/>
      <c r="T524" s="9"/>
      <c r="U524" s="9"/>
      <c r="V524" s="9"/>
      <c r="W524" s="9"/>
      <c r="X524" s="9"/>
      <c r="Y524" s="9"/>
      <c r="Z524" s="9"/>
      <c r="AA524" s="9"/>
      <c r="AB524" s="9"/>
      <c r="AC524" s="9"/>
    </row>
    <row r="525" ht="15.75" customHeight="1">
      <c r="B525" s="106"/>
      <c r="C525" s="107"/>
      <c r="D525" s="108"/>
      <c r="E525" s="109"/>
      <c r="F525" s="107"/>
      <c r="G525" s="110"/>
      <c r="H525" s="109"/>
      <c r="I525" s="9"/>
      <c r="J525" s="9"/>
      <c r="K525" s="9"/>
      <c r="L525" s="9"/>
      <c r="M525" s="9"/>
      <c r="N525" s="9"/>
      <c r="O525" s="9"/>
      <c r="P525" s="9"/>
      <c r="Q525" s="9"/>
      <c r="R525" s="9"/>
      <c r="S525" s="9"/>
      <c r="T525" s="9"/>
      <c r="U525" s="9"/>
      <c r="V525" s="9"/>
      <c r="W525" s="9"/>
      <c r="X525" s="9"/>
      <c r="Y525" s="9"/>
      <c r="Z525" s="9"/>
      <c r="AA525" s="9"/>
      <c r="AB525" s="9"/>
      <c r="AC525" s="9"/>
    </row>
    <row r="526" ht="15.75" customHeight="1">
      <c r="B526" s="106"/>
      <c r="C526" s="107"/>
      <c r="D526" s="108"/>
      <c r="E526" s="109"/>
      <c r="F526" s="107"/>
      <c r="G526" s="110"/>
      <c r="H526" s="109"/>
      <c r="I526" s="9"/>
      <c r="J526" s="9"/>
      <c r="K526" s="9"/>
      <c r="L526" s="9"/>
      <c r="M526" s="9"/>
      <c r="N526" s="9"/>
      <c r="O526" s="9"/>
      <c r="P526" s="9"/>
      <c r="Q526" s="9"/>
      <c r="R526" s="9"/>
      <c r="S526" s="9"/>
      <c r="T526" s="9"/>
      <c r="U526" s="9"/>
      <c r="V526" s="9"/>
      <c r="W526" s="9"/>
      <c r="X526" s="9"/>
      <c r="Y526" s="9"/>
      <c r="Z526" s="9"/>
      <c r="AA526" s="9"/>
      <c r="AB526" s="9"/>
      <c r="AC526" s="9"/>
    </row>
    <row r="527" ht="15.75" customHeight="1">
      <c r="B527" s="106"/>
      <c r="C527" s="107"/>
      <c r="D527" s="108"/>
      <c r="E527" s="109"/>
      <c r="F527" s="107"/>
      <c r="G527" s="110"/>
      <c r="H527" s="109"/>
      <c r="I527" s="9"/>
      <c r="J527" s="9"/>
      <c r="K527" s="9"/>
      <c r="L527" s="9"/>
      <c r="M527" s="9"/>
      <c r="N527" s="9"/>
      <c r="O527" s="9"/>
      <c r="P527" s="9"/>
      <c r="Q527" s="9"/>
      <c r="R527" s="9"/>
      <c r="S527" s="9"/>
      <c r="T527" s="9"/>
      <c r="U527" s="9"/>
      <c r="V527" s="9"/>
      <c r="W527" s="9"/>
      <c r="X527" s="9"/>
      <c r="Y527" s="9"/>
      <c r="Z527" s="9"/>
      <c r="AA527" s="9"/>
      <c r="AB527" s="9"/>
      <c r="AC527" s="9"/>
    </row>
    <row r="528" ht="15.75" customHeight="1">
      <c r="B528" s="106"/>
      <c r="C528" s="107"/>
      <c r="D528" s="108"/>
      <c r="E528" s="109"/>
      <c r="F528" s="107"/>
      <c r="G528" s="110"/>
      <c r="H528" s="109"/>
      <c r="I528" s="9"/>
      <c r="J528" s="9"/>
      <c r="K528" s="9"/>
      <c r="L528" s="9"/>
      <c r="M528" s="9"/>
      <c r="N528" s="9"/>
      <c r="O528" s="9"/>
      <c r="P528" s="9"/>
      <c r="Q528" s="9"/>
      <c r="R528" s="9"/>
      <c r="S528" s="9"/>
      <c r="T528" s="9"/>
      <c r="U528" s="9"/>
      <c r="V528" s="9"/>
      <c r="W528" s="9"/>
      <c r="X528" s="9"/>
      <c r="Y528" s="9"/>
      <c r="Z528" s="9"/>
      <c r="AA528" s="9"/>
      <c r="AB528" s="9"/>
      <c r="AC528" s="9"/>
    </row>
    <row r="529" ht="15.75" customHeight="1">
      <c r="B529" s="106"/>
      <c r="C529" s="107"/>
      <c r="D529" s="108"/>
      <c r="E529" s="109"/>
      <c r="F529" s="107"/>
      <c r="G529" s="110"/>
      <c r="H529" s="109"/>
      <c r="I529" s="9"/>
      <c r="J529" s="9"/>
      <c r="K529" s="9"/>
      <c r="L529" s="9"/>
      <c r="M529" s="9"/>
      <c r="N529" s="9"/>
      <c r="O529" s="9"/>
      <c r="P529" s="9"/>
      <c r="Q529" s="9"/>
      <c r="R529" s="9"/>
      <c r="S529" s="9"/>
      <c r="T529" s="9"/>
      <c r="U529" s="9"/>
      <c r="V529" s="9"/>
      <c r="W529" s="9"/>
      <c r="X529" s="9"/>
      <c r="Y529" s="9"/>
      <c r="Z529" s="9"/>
      <c r="AA529" s="9"/>
      <c r="AB529" s="9"/>
      <c r="AC529" s="9"/>
    </row>
    <row r="530" ht="15.75" customHeight="1">
      <c r="B530" s="106"/>
      <c r="C530" s="107"/>
      <c r="D530" s="108"/>
      <c r="E530" s="109"/>
      <c r="F530" s="107"/>
      <c r="G530" s="110"/>
      <c r="H530" s="109"/>
      <c r="I530" s="9"/>
      <c r="J530" s="9"/>
      <c r="K530" s="9"/>
      <c r="L530" s="9"/>
      <c r="M530" s="9"/>
      <c r="N530" s="9"/>
      <c r="O530" s="9"/>
      <c r="P530" s="9"/>
      <c r="Q530" s="9"/>
      <c r="R530" s="9"/>
      <c r="S530" s="9"/>
      <c r="T530" s="9"/>
      <c r="U530" s="9"/>
      <c r="V530" s="9"/>
      <c r="W530" s="9"/>
      <c r="X530" s="9"/>
      <c r="Y530" s="9"/>
      <c r="Z530" s="9"/>
      <c r="AA530" s="9"/>
      <c r="AB530" s="9"/>
      <c r="AC530" s="9"/>
    </row>
    <row r="531" ht="15.75" customHeight="1">
      <c r="B531" s="106"/>
      <c r="C531" s="107"/>
      <c r="D531" s="108"/>
      <c r="E531" s="109"/>
      <c r="F531" s="107"/>
      <c r="G531" s="110"/>
      <c r="H531" s="109"/>
      <c r="I531" s="9"/>
      <c r="J531" s="9"/>
      <c r="K531" s="9"/>
      <c r="L531" s="9"/>
      <c r="M531" s="9"/>
      <c r="N531" s="9"/>
      <c r="O531" s="9"/>
      <c r="P531" s="9"/>
      <c r="Q531" s="9"/>
      <c r="R531" s="9"/>
      <c r="S531" s="9"/>
      <c r="T531" s="9"/>
      <c r="U531" s="9"/>
      <c r="V531" s="9"/>
      <c r="W531" s="9"/>
      <c r="X531" s="9"/>
      <c r="Y531" s="9"/>
      <c r="Z531" s="9"/>
      <c r="AA531" s="9"/>
      <c r="AB531" s="9"/>
      <c r="AC531" s="9"/>
    </row>
    <row r="532" ht="15.75" customHeight="1">
      <c r="B532" s="106"/>
      <c r="C532" s="107"/>
      <c r="D532" s="108"/>
      <c r="E532" s="109"/>
      <c r="F532" s="107"/>
      <c r="G532" s="110"/>
      <c r="H532" s="109"/>
      <c r="I532" s="9"/>
      <c r="J532" s="9"/>
      <c r="K532" s="9"/>
      <c r="L532" s="9"/>
      <c r="M532" s="9"/>
      <c r="N532" s="9"/>
      <c r="O532" s="9"/>
      <c r="P532" s="9"/>
      <c r="Q532" s="9"/>
      <c r="R532" s="9"/>
      <c r="S532" s="9"/>
      <c r="T532" s="9"/>
      <c r="U532" s="9"/>
      <c r="V532" s="9"/>
      <c r="W532" s="9"/>
      <c r="X532" s="9"/>
      <c r="Y532" s="9"/>
      <c r="Z532" s="9"/>
      <c r="AA532" s="9"/>
      <c r="AB532" s="9"/>
      <c r="AC532" s="9"/>
    </row>
    <row r="533" ht="15.75" customHeight="1">
      <c r="B533" s="106"/>
      <c r="C533" s="107"/>
      <c r="D533" s="108"/>
      <c r="E533" s="109"/>
      <c r="F533" s="107"/>
      <c r="G533" s="110"/>
      <c r="H533" s="109"/>
      <c r="I533" s="9"/>
      <c r="J533" s="9"/>
      <c r="K533" s="9"/>
      <c r="L533" s="9"/>
      <c r="M533" s="9"/>
      <c r="N533" s="9"/>
      <c r="O533" s="9"/>
      <c r="P533" s="9"/>
      <c r="Q533" s="9"/>
      <c r="R533" s="9"/>
      <c r="S533" s="9"/>
      <c r="T533" s="9"/>
      <c r="U533" s="9"/>
      <c r="V533" s="9"/>
      <c r="W533" s="9"/>
      <c r="X533" s="9"/>
      <c r="Y533" s="9"/>
      <c r="Z533" s="9"/>
      <c r="AA533" s="9"/>
      <c r="AB533" s="9"/>
      <c r="AC533" s="9"/>
    </row>
    <row r="534" ht="15.75" customHeight="1">
      <c r="B534" s="106"/>
      <c r="C534" s="107"/>
      <c r="D534" s="108"/>
      <c r="E534" s="109"/>
      <c r="F534" s="107"/>
      <c r="G534" s="110"/>
      <c r="H534" s="109"/>
      <c r="I534" s="9"/>
      <c r="J534" s="9"/>
      <c r="K534" s="9"/>
      <c r="L534" s="9"/>
      <c r="M534" s="9"/>
      <c r="N534" s="9"/>
      <c r="O534" s="9"/>
      <c r="P534" s="9"/>
      <c r="Q534" s="9"/>
      <c r="R534" s="9"/>
      <c r="S534" s="9"/>
      <c r="T534" s="9"/>
      <c r="U534" s="9"/>
      <c r="V534" s="9"/>
      <c r="W534" s="9"/>
      <c r="X534" s="9"/>
      <c r="Y534" s="9"/>
      <c r="Z534" s="9"/>
      <c r="AA534" s="9"/>
      <c r="AB534" s="9"/>
      <c r="AC534" s="9"/>
    </row>
    <row r="535" ht="15.75" customHeight="1">
      <c r="B535" s="106"/>
      <c r="C535" s="107"/>
      <c r="D535" s="108"/>
      <c r="E535" s="109"/>
      <c r="F535" s="107"/>
      <c r="G535" s="110"/>
      <c r="H535" s="109"/>
      <c r="I535" s="9"/>
      <c r="J535" s="9"/>
      <c r="K535" s="9"/>
      <c r="L535" s="9"/>
      <c r="M535" s="9"/>
      <c r="N535" s="9"/>
      <c r="O535" s="9"/>
      <c r="P535" s="9"/>
      <c r="Q535" s="9"/>
      <c r="R535" s="9"/>
      <c r="S535" s="9"/>
      <c r="T535" s="9"/>
      <c r="U535" s="9"/>
      <c r="V535" s="9"/>
      <c r="W535" s="9"/>
      <c r="X535" s="9"/>
      <c r="Y535" s="9"/>
      <c r="Z535" s="9"/>
      <c r="AA535" s="9"/>
      <c r="AB535" s="9"/>
      <c r="AC535" s="9"/>
    </row>
    <row r="536" ht="15.75" customHeight="1">
      <c r="B536" s="106"/>
      <c r="C536" s="107"/>
      <c r="D536" s="108"/>
      <c r="E536" s="109"/>
      <c r="F536" s="107"/>
      <c r="G536" s="110"/>
      <c r="H536" s="109"/>
      <c r="I536" s="9"/>
      <c r="J536" s="9"/>
      <c r="K536" s="9"/>
      <c r="L536" s="9"/>
      <c r="M536" s="9"/>
      <c r="N536" s="9"/>
      <c r="O536" s="9"/>
      <c r="P536" s="9"/>
      <c r="Q536" s="9"/>
      <c r="R536" s="9"/>
      <c r="S536" s="9"/>
      <c r="T536" s="9"/>
      <c r="U536" s="9"/>
      <c r="V536" s="9"/>
      <c r="W536" s="9"/>
      <c r="X536" s="9"/>
      <c r="Y536" s="9"/>
      <c r="Z536" s="9"/>
      <c r="AA536" s="9"/>
      <c r="AB536" s="9"/>
      <c r="AC536" s="9"/>
    </row>
    <row r="537" ht="15.75" customHeight="1">
      <c r="B537" s="106"/>
      <c r="C537" s="107"/>
      <c r="D537" s="108"/>
      <c r="E537" s="109"/>
      <c r="F537" s="107"/>
      <c r="G537" s="110"/>
      <c r="H537" s="109"/>
      <c r="I537" s="9"/>
      <c r="J537" s="9"/>
      <c r="K537" s="9"/>
      <c r="L537" s="9"/>
      <c r="M537" s="9"/>
      <c r="N537" s="9"/>
      <c r="O537" s="9"/>
      <c r="P537" s="9"/>
      <c r="Q537" s="9"/>
      <c r="R537" s="9"/>
      <c r="S537" s="9"/>
      <c r="T537" s="9"/>
      <c r="U537" s="9"/>
      <c r="V537" s="9"/>
      <c r="W537" s="9"/>
      <c r="X537" s="9"/>
      <c r="Y537" s="9"/>
      <c r="Z537" s="9"/>
      <c r="AA537" s="9"/>
      <c r="AB537" s="9"/>
      <c r="AC537" s="9"/>
    </row>
    <row r="538" ht="15.75" customHeight="1">
      <c r="B538" s="106"/>
      <c r="C538" s="107"/>
      <c r="D538" s="108"/>
      <c r="E538" s="109"/>
      <c r="F538" s="107"/>
      <c r="G538" s="110"/>
      <c r="H538" s="109"/>
      <c r="I538" s="9"/>
      <c r="J538" s="9"/>
      <c r="K538" s="9"/>
      <c r="L538" s="9"/>
      <c r="M538" s="9"/>
      <c r="N538" s="9"/>
      <c r="O538" s="9"/>
      <c r="P538" s="9"/>
      <c r="Q538" s="9"/>
      <c r="R538" s="9"/>
      <c r="S538" s="9"/>
      <c r="T538" s="9"/>
      <c r="U538" s="9"/>
      <c r="V538" s="9"/>
      <c r="W538" s="9"/>
      <c r="X538" s="9"/>
      <c r="Y538" s="9"/>
      <c r="Z538" s="9"/>
      <c r="AA538" s="9"/>
      <c r="AB538" s="9"/>
      <c r="AC538" s="9"/>
    </row>
    <row r="539" ht="15.75" customHeight="1">
      <c r="B539" s="106"/>
      <c r="C539" s="107"/>
      <c r="D539" s="108"/>
      <c r="E539" s="109"/>
      <c r="F539" s="107"/>
      <c r="G539" s="110"/>
      <c r="H539" s="109"/>
      <c r="I539" s="9"/>
      <c r="J539" s="9"/>
      <c r="K539" s="9"/>
      <c r="L539" s="9"/>
      <c r="M539" s="9"/>
      <c r="N539" s="9"/>
      <c r="O539" s="9"/>
      <c r="P539" s="9"/>
      <c r="Q539" s="9"/>
      <c r="R539" s="9"/>
      <c r="S539" s="9"/>
      <c r="T539" s="9"/>
      <c r="U539" s="9"/>
      <c r="V539" s="9"/>
      <c r="W539" s="9"/>
      <c r="X539" s="9"/>
      <c r="Y539" s="9"/>
      <c r="Z539" s="9"/>
      <c r="AA539" s="9"/>
      <c r="AB539" s="9"/>
      <c r="AC539" s="9"/>
    </row>
    <row r="540" ht="15.75" customHeight="1">
      <c r="B540" s="106"/>
      <c r="C540" s="107"/>
      <c r="D540" s="108"/>
      <c r="E540" s="109"/>
      <c r="F540" s="107"/>
      <c r="G540" s="110"/>
      <c r="H540" s="109"/>
      <c r="I540" s="9"/>
      <c r="J540" s="9"/>
      <c r="K540" s="9"/>
      <c r="L540" s="9"/>
      <c r="M540" s="9"/>
      <c r="N540" s="9"/>
      <c r="O540" s="9"/>
      <c r="P540" s="9"/>
      <c r="Q540" s="9"/>
      <c r="R540" s="9"/>
      <c r="S540" s="9"/>
      <c r="T540" s="9"/>
      <c r="U540" s="9"/>
      <c r="V540" s="9"/>
      <c r="W540" s="9"/>
      <c r="X540" s="9"/>
      <c r="Y540" s="9"/>
      <c r="Z540" s="9"/>
      <c r="AA540" s="9"/>
      <c r="AB540" s="9"/>
      <c r="AC540" s="9"/>
    </row>
    <row r="541" ht="15.75" customHeight="1">
      <c r="B541" s="106"/>
      <c r="C541" s="107"/>
      <c r="D541" s="108"/>
      <c r="E541" s="109"/>
      <c r="F541" s="107"/>
      <c r="G541" s="110"/>
      <c r="H541" s="109"/>
      <c r="I541" s="9"/>
      <c r="J541" s="9"/>
      <c r="K541" s="9"/>
      <c r="L541" s="9"/>
      <c r="M541" s="9"/>
      <c r="N541" s="9"/>
      <c r="O541" s="9"/>
      <c r="P541" s="9"/>
      <c r="Q541" s="9"/>
      <c r="R541" s="9"/>
      <c r="S541" s="9"/>
      <c r="T541" s="9"/>
      <c r="U541" s="9"/>
      <c r="V541" s="9"/>
      <c r="W541" s="9"/>
      <c r="X541" s="9"/>
      <c r="Y541" s="9"/>
      <c r="Z541" s="9"/>
      <c r="AA541" s="9"/>
      <c r="AB541" s="9"/>
      <c r="AC541" s="9"/>
    </row>
    <row r="542" ht="15.75" customHeight="1">
      <c r="B542" s="106"/>
      <c r="C542" s="107"/>
      <c r="D542" s="108"/>
      <c r="E542" s="109"/>
      <c r="F542" s="107"/>
      <c r="G542" s="110"/>
      <c r="H542" s="109"/>
      <c r="I542" s="9"/>
      <c r="J542" s="9"/>
      <c r="K542" s="9"/>
      <c r="L542" s="9"/>
      <c r="M542" s="9"/>
      <c r="N542" s="9"/>
      <c r="O542" s="9"/>
      <c r="P542" s="9"/>
      <c r="Q542" s="9"/>
      <c r="R542" s="9"/>
      <c r="S542" s="9"/>
      <c r="T542" s="9"/>
      <c r="U542" s="9"/>
      <c r="V542" s="9"/>
      <c r="W542" s="9"/>
      <c r="X542" s="9"/>
      <c r="Y542" s="9"/>
      <c r="Z542" s="9"/>
      <c r="AA542" s="9"/>
      <c r="AB542" s="9"/>
      <c r="AC542" s="9"/>
    </row>
    <row r="543" ht="15.75" customHeight="1">
      <c r="B543" s="106"/>
      <c r="C543" s="107"/>
      <c r="D543" s="108"/>
      <c r="E543" s="109"/>
      <c r="F543" s="107"/>
      <c r="G543" s="110"/>
      <c r="H543" s="109"/>
      <c r="I543" s="9"/>
      <c r="J543" s="9"/>
      <c r="K543" s="9"/>
      <c r="L543" s="9"/>
      <c r="M543" s="9"/>
      <c r="N543" s="9"/>
      <c r="O543" s="9"/>
      <c r="P543" s="9"/>
      <c r="Q543" s="9"/>
      <c r="R543" s="9"/>
      <c r="S543" s="9"/>
      <c r="T543" s="9"/>
      <c r="U543" s="9"/>
      <c r="V543" s="9"/>
      <c r="W543" s="9"/>
      <c r="X543" s="9"/>
      <c r="Y543" s="9"/>
      <c r="Z543" s="9"/>
      <c r="AA543" s="9"/>
      <c r="AB543" s="9"/>
      <c r="AC543" s="9"/>
    </row>
    <row r="544" ht="15.75" customHeight="1">
      <c r="B544" s="106"/>
      <c r="C544" s="107"/>
      <c r="D544" s="108"/>
      <c r="E544" s="109"/>
      <c r="F544" s="107"/>
      <c r="G544" s="110"/>
      <c r="H544" s="109"/>
      <c r="I544" s="9"/>
      <c r="J544" s="9"/>
      <c r="K544" s="9"/>
      <c r="L544" s="9"/>
      <c r="M544" s="9"/>
      <c r="N544" s="9"/>
      <c r="O544" s="9"/>
      <c r="P544" s="9"/>
      <c r="Q544" s="9"/>
      <c r="R544" s="9"/>
      <c r="S544" s="9"/>
      <c r="T544" s="9"/>
      <c r="U544" s="9"/>
      <c r="V544" s="9"/>
      <c r="W544" s="9"/>
      <c r="X544" s="9"/>
      <c r="Y544" s="9"/>
      <c r="Z544" s="9"/>
      <c r="AA544" s="9"/>
      <c r="AB544" s="9"/>
      <c r="AC544" s="9"/>
    </row>
    <row r="545" ht="15.75" customHeight="1">
      <c r="B545" s="106"/>
      <c r="C545" s="107"/>
      <c r="D545" s="108"/>
      <c r="E545" s="109"/>
      <c r="F545" s="107"/>
      <c r="G545" s="110"/>
      <c r="H545" s="109"/>
      <c r="I545" s="9"/>
      <c r="J545" s="9"/>
      <c r="K545" s="9"/>
      <c r="L545" s="9"/>
      <c r="M545" s="9"/>
      <c r="N545" s="9"/>
      <c r="O545" s="9"/>
      <c r="P545" s="9"/>
      <c r="Q545" s="9"/>
      <c r="R545" s="9"/>
      <c r="S545" s="9"/>
      <c r="T545" s="9"/>
      <c r="U545" s="9"/>
      <c r="V545" s="9"/>
      <c r="W545" s="9"/>
      <c r="X545" s="9"/>
      <c r="Y545" s="9"/>
      <c r="Z545" s="9"/>
      <c r="AA545" s="9"/>
      <c r="AB545" s="9"/>
      <c r="AC545" s="9"/>
    </row>
    <row r="546" ht="15.75" customHeight="1">
      <c r="B546" s="106"/>
      <c r="C546" s="107"/>
      <c r="D546" s="108"/>
      <c r="E546" s="109"/>
      <c r="F546" s="107"/>
      <c r="G546" s="110"/>
      <c r="H546" s="109"/>
      <c r="I546" s="9"/>
      <c r="J546" s="9"/>
      <c r="K546" s="9"/>
      <c r="L546" s="9"/>
      <c r="M546" s="9"/>
      <c r="N546" s="9"/>
      <c r="O546" s="9"/>
      <c r="P546" s="9"/>
      <c r="Q546" s="9"/>
      <c r="R546" s="9"/>
      <c r="S546" s="9"/>
      <c r="T546" s="9"/>
      <c r="U546" s="9"/>
      <c r="V546" s="9"/>
      <c r="W546" s="9"/>
      <c r="X546" s="9"/>
      <c r="Y546" s="9"/>
      <c r="Z546" s="9"/>
      <c r="AA546" s="9"/>
      <c r="AB546" s="9"/>
      <c r="AC546" s="9"/>
    </row>
    <row r="547" ht="15.75" customHeight="1">
      <c r="B547" s="106"/>
      <c r="C547" s="107"/>
      <c r="D547" s="108"/>
      <c r="E547" s="109"/>
      <c r="F547" s="107"/>
      <c r="G547" s="110"/>
      <c r="H547" s="109"/>
      <c r="I547" s="9"/>
      <c r="J547" s="9"/>
      <c r="K547" s="9"/>
      <c r="L547" s="9"/>
      <c r="M547" s="9"/>
      <c r="N547" s="9"/>
      <c r="O547" s="9"/>
      <c r="P547" s="9"/>
      <c r="Q547" s="9"/>
      <c r="R547" s="9"/>
      <c r="S547" s="9"/>
      <c r="T547" s="9"/>
      <c r="U547" s="9"/>
      <c r="V547" s="9"/>
      <c r="W547" s="9"/>
      <c r="X547" s="9"/>
      <c r="Y547" s="9"/>
      <c r="Z547" s="9"/>
      <c r="AA547" s="9"/>
      <c r="AB547" s="9"/>
      <c r="AC547" s="9"/>
    </row>
    <row r="548" ht="15.75" customHeight="1">
      <c r="B548" s="106"/>
      <c r="C548" s="107"/>
      <c r="D548" s="108"/>
      <c r="E548" s="109"/>
      <c r="F548" s="107"/>
      <c r="G548" s="110"/>
      <c r="H548" s="109"/>
      <c r="I548" s="9"/>
      <c r="J548" s="9"/>
      <c r="K548" s="9"/>
      <c r="L548" s="9"/>
      <c r="M548" s="9"/>
      <c r="N548" s="9"/>
      <c r="O548" s="9"/>
      <c r="P548" s="9"/>
      <c r="Q548" s="9"/>
      <c r="R548" s="9"/>
      <c r="S548" s="9"/>
      <c r="T548" s="9"/>
      <c r="U548" s="9"/>
      <c r="V548" s="9"/>
      <c r="W548" s="9"/>
      <c r="X548" s="9"/>
      <c r="Y548" s="9"/>
      <c r="Z548" s="9"/>
      <c r="AA548" s="9"/>
      <c r="AB548" s="9"/>
      <c r="AC548" s="9"/>
    </row>
    <row r="549" ht="15.75" customHeight="1">
      <c r="B549" s="106"/>
      <c r="C549" s="107"/>
      <c r="D549" s="108"/>
      <c r="E549" s="109"/>
      <c r="F549" s="107"/>
      <c r="G549" s="110"/>
      <c r="H549" s="109"/>
      <c r="I549" s="9"/>
      <c r="J549" s="9"/>
      <c r="K549" s="9"/>
      <c r="L549" s="9"/>
      <c r="M549" s="9"/>
      <c r="N549" s="9"/>
      <c r="O549" s="9"/>
      <c r="P549" s="9"/>
      <c r="Q549" s="9"/>
      <c r="R549" s="9"/>
      <c r="S549" s="9"/>
      <c r="T549" s="9"/>
      <c r="U549" s="9"/>
      <c r="V549" s="9"/>
      <c r="W549" s="9"/>
      <c r="X549" s="9"/>
      <c r="Y549" s="9"/>
      <c r="Z549" s="9"/>
      <c r="AA549" s="9"/>
      <c r="AB549" s="9"/>
      <c r="AC549" s="9"/>
    </row>
    <row r="550" ht="15.75" customHeight="1">
      <c r="B550" s="106"/>
      <c r="C550" s="107"/>
      <c r="D550" s="108"/>
      <c r="E550" s="109"/>
      <c r="F550" s="107"/>
      <c r="G550" s="110"/>
      <c r="H550" s="109"/>
      <c r="I550" s="9"/>
      <c r="J550" s="9"/>
      <c r="K550" s="9"/>
      <c r="L550" s="9"/>
      <c r="M550" s="9"/>
      <c r="N550" s="9"/>
      <c r="O550" s="9"/>
      <c r="P550" s="9"/>
      <c r="Q550" s="9"/>
      <c r="R550" s="9"/>
      <c r="S550" s="9"/>
      <c r="T550" s="9"/>
      <c r="U550" s="9"/>
      <c r="V550" s="9"/>
      <c r="W550" s="9"/>
      <c r="X550" s="9"/>
      <c r="Y550" s="9"/>
      <c r="Z550" s="9"/>
      <c r="AA550" s="9"/>
      <c r="AB550" s="9"/>
      <c r="AC550" s="9"/>
    </row>
    <row r="551" ht="15.75" customHeight="1">
      <c r="B551" s="106"/>
      <c r="C551" s="107"/>
      <c r="D551" s="108"/>
      <c r="E551" s="109"/>
      <c r="F551" s="107"/>
      <c r="G551" s="110"/>
      <c r="H551" s="109"/>
      <c r="I551" s="9"/>
      <c r="J551" s="9"/>
      <c r="K551" s="9"/>
      <c r="L551" s="9"/>
      <c r="M551" s="9"/>
      <c r="N551" s="9"/>
      <c r="O551" s="9"/>
      <c r="P551" s="9"/>
      <c r="Q551" s="9"/>
      <c r="R551" s="9"/>
      <c r="S551" s="9"/>
      <c r="T551" s="9"/>
      <c r="U551" s="9"/>
      <c r="V551" s="9"/>
      <c r="W551" s="9"/>
      <c r="X551" s="9"/>
      <c r="Y551" s="9"/>
      <c r="Z551" s="9"/>
      <c r="AA551" s="9"/>
      <c r="AB551" s="9"/>
      <c r="AC551" s="9"/>
    </row>
    <row r="552" ht="15.75" customHeight="1">
      <c r="B552" s="106"/>
      <c r="C552" s="107"/>
      <c r="D552" s="108"/>
      <c r="E552" s="109"/>
      <c r="F552" s="107"/>
      <c r="G552" s="110"/>
      <c r="H552" s="109"/>
      <c r="I552" s="9"/>
      <c r="J552" s="9"/>
      <c r="K552" s="9"/>
      <c r="L552" s="9"/>
      <c r="M552" s="9"/>
      <c r="N552" s="9"/>
      <c r="O552" s="9"/>
      <c r="P552" s="9"/>
      <c r="Q552" s="9"/>
      <c r="R552" s="9"/>
      <c r="S552" s="9"/>
      <c r="T552" s="9"/>
      <c r="U552" s="9"/>
      <c r="V552" s="9"/>
      <c r="W552" s="9"/>
      <c r="X552" s="9"/>
      <c r="Y552" s="9"/>
      <c r="Z552" s="9"/>
      <c r="AA552" s="9"/>
      <c r="AB552" s="9"/>
      <c r="AC552" s="9"/>
    </row>
    <row r="553" ht="15.75" customHeight="1">
      <c r="B553" s="106"/>
      <c r="C553" s="107"/>
      <c r="D553" s="108"/>
      <c r="E553" s="109"/>
      <c r="F553" s="107"/>
      <c r="G553" s="110"/>
      <c r="H553" s="109"/>
      <c r="I553" s="9"/>
      <c r="J553" s="9"/>
      <c r="K553" s="9"/>
      <c r="L553" s="9"/>
      <c r="M553" s="9"/>
      <c r="N553" s="9"/>
      <c r="O553" s="9"/>
      <c r="P553" s="9"/>
      <c r="Q553" s="9"/>
      <c r="R553" s="9"/>
      <c r="S553" s="9"/>
      <c r="T553" s="9"/>
      <c r="U553" s="9"/>
      <c r="V553" s="9"/>
      <c r="W553" s="9"/>
      <c r="X553" s="9"/>
      <c r="Y553" s="9"/>
      <c r="Z553" s="9"/>
      <c r="AA553" s="9"/>
      <c r="AB553" s="9"/>
      <c r="AC553" s="9"/>
    </row>
    <row r="554" ht="15.75" customHeight="1">
      <c r="B554" s="106"/>
      <c r="C554" s="107"/>
      <c r="D554" s="108"/>
      <c r="E554" s="109"/>
      <c r="F554" s="107"/>
      <c r="G554" s="110"/>
      <c r="H554" s="109"/>
      <c r="I554" s="9"/>
      <c r="J554" s="9"/>
      <c r="K554" s="9"/>
      <c r="L554" s="9"/>
      <c r="M554" s="9"/>
      <c r="N554" s="9"/>
      <c r="O554" s="9"/>
      <c r="P554" s="9"/>
      <c r="Q554" s="9"/>
      <c r="R554" s="9"/>
      <c r="S554" s="9"/>
      <c r="T554" s="9"/>
      <c r="U554" s="9"/>
      <c r="V554" s="9"/>
      <c r="W554" s="9"/>
      <c r="X554" s="9"/>
      <c r="Y554" s="9"/>
      <c r="Z554" s="9"/>
      <c r="AA554" s="9"/>
      <c r="AB554" s="9"/>
      <c r="AC554" s="9"/>
    </row>
    <row r="555" ht="15.75" customHeight="1">
      <c r="B555" s="106"/>
      <c r="C555" s="107"/>
      <c r="D555" s="108"/>
      <c r="E555" s="109"/>
      <c r="F555" s="107"/>
      <c r="G555" s="110"/>
      <c r="H555" s="109"/>
      <c r="I555" s="9"/>
      <c r="J555" s="9"/>
      <c r="K555" s="9"/>
      <c r="L555" s="9"/>
      <c r="M555" s="9"/>
      <c r="N555" s="9"/>
      <c r="O555" s="9"/>
      <c r="P555" s="9"/>
      <c r="Q555" s="9"/>
      <c r="R555" s="9"/>
      <c r="S555" s="9"/>
      <c r="T555" s="9"/>
      <c r="U555" s="9"/>
      <c r="V555" s="9"/>
      <c r="W555" s="9"/>
      <c r="X555" s="9"/>
      <c r="Y555" s="9"/>
      <c r="Z555" s="9"/>
      <c r="AA555" s="9"/>
      <c r="AB555" s="9"/>
      <c r="AC555" s="9"/>
    </row>
    <row r="556" ht="15.75" customHeight="1">
      <c r="B556" s="106"/>
      <c r="C556" s="107"/>
      <c r="D556" s="108"/>
      <c r="E556" s="109"/>
      <c r="F556" s="107"/>
      <c r="G556" s="110"/>
      <c r="H556" s="109"/>
      <c r="I556" s="9"/>
      <c r="J556" s="9"/>
      <c r="K556" s="9"/>
      <c r="L556" s="9"/>
      <c r="M556" s="9"/>
      <c r="N556" s="9"/>
      <c r="O556" s="9"/>
      <c r="P556" s="9"/>
      <c r="Q556" s="9"/>
      <c r="R556" s="9"/>
      <c r="S556" s="9"/>
      <c r="T556" s="9"/>
      <c r="U556" s="9"/>
      <c r="V556" s="9"/>
      <c r="W556" s="9"/>
      <c r="X556" s="9"/>
      <c r="Y556" s="9"/>
      <c r="Z556" s="9"/>
      <c r="AA556" s="9"/>
      <c r="AB556" s="9"/>
      <c r="AC556" s="9"/>
    </row>
    <row r="557" ht="15.75" customHeight="1">
      <c r="B557" s="106"/>
      <c r="C557" s="107"/>
      <c r="D557" s="108"/>
      <c r="E557" s="109"/>
      <c r="F557" s="107"/>
      <c r="G557" s="110"/>
      <c r="H557" s="109"/>
      <c r="I557" s="9"/>
      <c r="J557" s="9"/>
      <c r="K557" s="9"/>
      <c r="L557" s="9"/>
      <c r="M557" s="9"/>
      <c r="N557" s="9"/>
      <c r="O557" s="9"/>
      <c r="P557" s="9"/>
      <c r="Q557" s="9"/>
      <c r="R557" s="9"/>
      <c r="S557" s="9"/>
      <c r="T557" s="9"/>
      <c r="U557" s="9"/>
      <c r="V557" s="9"/>
      <c r="W557" s="9"/>
      <c r="X557" s="9"/>
      <c r="Y557" s="9"/>
      <c r="Z557" s="9"/>
      <c r="AA557" s="9"/>
      <c r="AB557" s="9"/>
      <c r="AC557" s="9"/>
    </row>
    <row r="558" ht="15.75" customHeight="1">
      <c r="B558" s="106"/>
      <c r="C558" s="107"/>
      <c r="D558" s="108"/>
      <c r="E558" s="109"/>
      <c r="F558" s="107"/>
      <c r="G558" s="110"/>
      <c r="H558" s="109"/>
      <c r="I558" s="9"/>
      <c r="J558" s="9"/>
      <c r="K558" s="9"/>
      <c r="L558" s="9"/>
      <c r="M558" s="9"/>
      <c r="N558" s="9"/>
      <c r="O558" s="9"/>
      <c r="P558" s="9"/>
      <c r="Q558" s="9"/>
      <c r="R558" s="9"/>
      <c r="S558" s="9"/>
      <c r="T558" s="9"/>
      <c r="U558" s="9"/>
      <c r="V558" s="9"/>
      <c r="W558" s="9"/>
      <c r="X558" s="9"/>
      <c r="Y558" s="9"/>
      <c r="Z558" s="9"/>
      <c r="AA558" s="9"/>
      <c r="AB558" s="9"/>
      <c r="AC558" s="9"/>
    </row>
    <row r="559" ht="15.75" customHeight="1">
      <c r="B559" s="106"/>
      <c r="C559" s="107"/>
      <c r="D559" s="108"/>
      <c r="E559" s="109"/>
      <c r="F559" s="107"/>
      <c r="G559" s="110"/>
      <c r="H559" s="109"/>
      <c r="I559" s="9"/>
      <c r="J559" s="9"/>
      <c r="K559" s="9"/>
      <c r="L559" s="9"/>
      <c r="M559" s="9"/>
      <c r="N559" s="9"/>
      <c r="O559" s="9"/>
      <c r="P559" s="9"/>
      <c r="Q559" s="9"/>
      <c r="R559" s="9"/>
      <c r="S559" s="9"/>
      <c r="T559" s="9"/>
      <c r="U559" s="9"/>
      <c r="V559" s="9"/>
      <c r="W559" s="9"/>
      <c r="X559" s="9"/>
      <c r="Y559" s="9"/>
      <c r="Z559" s="9"/>
      <c r="AA559" s="9"/>
      <c r="AB559" s="9"/>
      <c r="AC559" s="9"/>
    </row>
    <row r="560" ht="15.75" customHeight="1">
      <c r="B560" s="106"/>
      <c r="C560" s="107"/>
      <c r="D560" s="108"/>
      <c r="E560" s="109"/>
      <c r="F560" s="107"/>
      <c r="G560" s="110"/>
      <c r="H560" s="109"/>
      <c r="I560" s="9"/>
      <c r="J560" s="9"/>
      <c r="K560" s="9"/>
      <c r="L560" s="9"/>
      <c r="M560" s="9"/>
      <c r="N560" s="9"/>
      <c r="O560" s="9"/>
      <c r="P560" s="9"/>
      <c r="Q560" s="9"/>
      <c r="R560" s="9"/>
      <c r="S560" s="9"/>
      <c r="T560" s="9"/>
      <c r="U560" s="9"/>
      <c r="V560" s="9"/>
      <c r="W560" s="9"/>
      <c r="X560" s="9"/>
      <c r="Y560" s="9"/>
      <c r="Z560" s="9"/>
      <c r="AA560" s="9"/>
      <c r="AB560" s="9"/>
      <c r="AC560" s="9"/>
    </row>
    <row r="561" ht="15.75" customHeight="1">
      <c r="B561" s="106"/>
      <c r="C561" s="107"/>
      <c r="D561" s="108"/>
      <c r="E561" s="109"/>
      <c r="F561" s="107"/>
      <c r="G561" s="110"/>
      <c r="H561" s="109"/>
      <c r="I561" s="9"/>
      <c r="J561" s="9"/>
      <c r="K561" s="9"/>
      <c r="L561" s="9"/>
      <c r="M561" s="9"/>
      <c r="N561" s="9"/>
      <c r="O561" s="9"/>
      <c r="P561" s="9"/>
      <c r="Q561" s="9"/>
      <c r="R561" s="9"/>
      <c r="S561" s="9"/>
      <c r="T561" s="9"/>
      <c r="U561" s="9"/>
      <c r="V561" s="9"/>
      <c r="W561" s="9"/>
      <c r="X561" s="9"/>
      <c r="Y561" s="9"/>
      <c r="Z561" s="9"/>
      <c r="AA561" s="9"/>
      <c r="AB561" s="9"/>
      <c r="AC561" s="9"/>
    </row>
    <row r="562" ht="15.75" customHeight="1">
      <c r="B562" s="106"/>
      <c r="C562" s="107"/>
      <c r="D562" s="108"/>
      <c r="E562" s="109"/>
      <c r="F562" s="107"/>
      <c r="G562" s="110"/>
      <c r="H562" s="109"/>
      <c r="I562" s="9"/>
      <c r="J562" s="9"/>
      <c r="K562" s="9"/>
      <c r="L562" s="9"/>
      <c r="M562" s="9"/>
      <c r="N562" s="9"/>
      <c r="O562" s="9"/>
      <c r="P562" s="9"/>
      <c r="Q562" s="9"/>
      <c r="R562" s="9"/>
      <c r="S562" s="9"/>
      <c r="T562" s="9"/>
      <c r="U562" s="9"/>
      <c r="V562" s="9"/>
      <c r="W562" s="9"/>
      <c r="X562" s="9"/>
      <c r="Y562" s="9"/>
      <c r="Z562" s="9"/>
      <c r="AA562" s="9"/>
      <c r="AB562" s="9"/>
      <c r="AC562" s="9"/>
    </row>
    <row r="563" ht="15.75" customHeight="1">
      <c r="B563" s="106"/>
      <c r="C563" s="107"/>
      <c r="D563" s="108"/>
      <c r="E563" s="109"/>
      <c r="F563" s="107"/>
      <c r="G563" s="110"/>
      <c r="H563" s="109"/>
      <c r="I563" s="9"/>
      <c r="J563" s="9"/>
      <c r="K563" s="9"/>
      <c r="L563" s="9"/>
      <c r="M563" s="9"/>
      <c r="N563" s="9"/>
      <c r="O563" s="9"/>
      <c r="P563" s="9"/>
      <c r="Q563" s="9"/>
      <c r="R563" s="9"/>
      <c r="S563" s="9"/>
      <c r="T563" s="9"/>
      <c r="U563" s="9"/>
      <c r="V563" s="9"/>
      <c r="W563" s="9"/>
      <c r="X563" s="9"/>
      <c r="Y563" s="9"/>
      <c r="Z563" s="9"/>
      <c r="AA563" s="9"/>
      <c r="AB563" s="9"/>
      <c r="AC563" s="9"/>
    </row>
    <row r="564" ht="15.75" customHeight="1">
      <c r="B564" s="106"/>
      <c r="C564" s="107"/>
      <c r="D564" s="108"/>
      <c r="E564" s="109"/>
      <c r="F564" s="107"/>
      <c r="G564" s="110"/>
      <c r="H564" s="109"/>
      <c r="I564" s="9"/>
      <c r="J564" s="9"/>
      <c r="K564" s="9"/>
      <c r="L564" s="9"/>
      <c r="M564" s="9"/>
      <c r="N564" s="9"/>
      <c r="O564" s="9"/>
      <c r="P564" s="9"/>
      <c r="Q564" s="9"/>
      <c r="R564" s="9"/>
      <c r="S564" s="9"/>
      <c r="T564" s="9"/>
      <c r="U564" s="9"/>
      <c r="V564" s="9"/>
      <c r="W564" s="9"/>
      <c r="X564" s="9"/>
      <c r="Y564" s="9"/>
      <c r="Z564" s="9"/>
      <c r="AA564" s="9"/>
      <c r="AB564" s="9"/>
      <c r="AC564" s="9"/>
    </row>
    <row r="565" ht="15.75" customHeight="1">
      <c r="B565" s="106"/>
      <c r="C565" s="107"/>
      <c r="D565" s="108"/>
      <c r="E565" s="109"/>
      <c r="F565" s="107"/>
      <c r="G565" s="110"/>
      <c r="H565" s="109"/>
      <c r="I565" s="9"/>
      <c r="J565" s="9"/>
      <c r="K565" s="9"/>
      <c r="L565" s="9"/>
      <c r="M565" s="9"/>
      <c r="N565" s="9"/>
      <c r="O565" s="9"/>
      <c r="P565" s="9"/>
      <c r="Q565" s="9"/>
      <c r="R565" s="9"/>
      <c r="S565" s="9"/>
      <c r="T565" s="9"/>
      <c r="U565" s="9"/>
      <c r="V565" s="9"/>
      <c r="W565" s="9"/>
      <c r="X565" s="9"/>
      <c r="Y565" s="9"/>
      <c r="Z565" s="9"/>
      <c r="AA565" s="9"/>
      <c r="AB565" s="9"/>
      <c r="AC565" s="9"/>
    </row>
    <row r="566" ht="15.75" customHeight="1">
      <c r="B566" s="106"/>
      <c r="C566" s="107"/>
      <c r="D566" s="108"/>
      <c r="E566" s="109"/>
      <c r="F566" s="107"/>
      <c r="G566" s="110"/>
      <c r="H566" s="109"/>
      <c r="I566" s="9"/>
      <c r="J566" s="9"/>
      <c r="K566" s="9"/>
      <c r="L566" s="9"/>
      <c r="M566" s="9"/>
      <c r="N566" s="9"/>
      <c r="O566" s="9"/>
      <c r="P566" s="9"/>
      <c r="Q566" s="9"/>
      <c r="R566" s="9"/>
      <c r="S566" s="9"/>
      <c r="T566" s="9"/>
      <c r="U566" s="9"/>
      <c r="V566" s="9"/>
      <c r="W566" s="9"/>
      <c r="X566" s="9"/>
      <c r="Y566" s="9"/>
      <c r="Z566" s="9"/>
      <c r="AA566" s="9"/>
      <c r="AB566" s="9"/>
      <c r="AC566" s="9"/>
    </row>
    <row r="567" ht="15.75" customHeight="1">
      <c r="B567" s="106"/>
      <c r="C567" s="107"/>
      <c r="D567" s="108"/>
      <c r="E567" s="109"/>
      <c r="F567" s="107"/>
      <c r="G567" s="110"/>
      <c r="H567" s="109"/>
      <c r="I567" s="9"/>
      <c r="J567" s="9"/>
      <c r="K567" s="9"/>
      <c r="L567" s="9"/>
      <c r="M567" s="9"/>
      <c r="N567" s="9"/>
      <c r="O567" s="9"/>
      <c r="P567" s="9"/>
      <c r="Q567" s="9"/>
      <c r="R567" s="9"/>
      <c r="S567" s="9"/>
      <c r="T567" s="9"/>
      <c r="U567" s="9"/>
      <c r="V567" s="9"/>
      <c r="W567" s="9"/>
      <c r="X567" s="9"/>
      <c r="Y567" s="9"/>
      <c r="Z567" s="9"/>
      <c r="AA567" s="9"/>
      <c r="AB567" s="9"/>
      <c r="AC567" s="9"/>
    </row>
    <row r="568" ht="15.75" customHeight="1">
      <c r="B568" s="106"/>
      <c r="C568" s="107"/>
      <c r="D568" s="108"/>
      <c r="E568" s="109"/>
      <c r="F568" s="107"/>
      <c r="G568" s="110"/>
      <c r="H568" s="109"/>
      <c r="I568" s="9"/>
      <c r="J568" s="9"/>
      <c r="K568" s="9"/>
      <c r="L568" s="9"/>
      <c r="M568" s="9"/>
      <c r="N568" s="9"/>
      <c r="O568" s="9"/>
      <c r="P568" s="9"/>
      <c r="Q568" s="9"/>
      <c r="R568" s="9"/>
      <c r="S568" s="9"/>
      <c r="T568" s="9"/>
      <c r="U568" s="9"/>
      <c r="V568" s="9"/>
      <c r="W568" s="9"/>
      <c r="X568" s="9"/>
      <c r="Y568" s="9"/>
      <c r="Z568" s="9"/>
      <c r="AA568" s="9"/>
      <c r="AB568" s="9"/>
      <c r="AC568" s="9"/>
    </row>
    <row r="569" ht="15.75" customHeight="1">
      <c r="B569" s="106"/>
      <c r="C569" s="107"/>
      <c r="D569" s="108"/>
      <c r="E569" s="109"/>
      <c r="F569" s="107"/>
      <c r="G569" s="110"/>
      <c r="H569" s="109"/>
      <c r="I569" s="9"/>
      <c r="J569" s="9"/>
      <c r="K569" s="9"/>
      <c r="L569" s="9"/>
      <c r="M569" s="9"/>
      <c r="N569" s="9"/>
      <c r="O569" s="9"/>
      <c r="P569" s="9"/>
      <c r="Q569" s="9"/>
      <c r="R569" s="9"/>
      <c r="S569" s="9"/>
      <c r="T569" s="9"/>
      <c r="U569" s="9"/>
      <c r="V569" s="9"/>
      <c r="W569" s="9"/>
      <c r="X569" s="9"/>
      <c r="Y569" s="9"/>
      <c r="Z569" s="9"/>
      <c r="AA569" s="9"/>
      <c r="AB569" s="9"/>
      <c r="AC569" s="9"/>
    </row>
    <row r="570" ht="15.75" customHeight="1">
      <c r="B570" s="106"/>
      <c r="C570" s="107"/>
      <c r="D570" s="108"/>
      <c r="E570" s="109"/>
      <c r="F570" s="107"/>
      <c r="G570" s="110"/>
      <c r="H570" s="109"/>
      <c r="I570" s="9"/>
      <c r="J570" s="9"/>
      <c r="K570" s="9"/>
      <c r="L570" s="9"/>
      <c r="M570" s="9"/>
      <c r="N570" s="9"/>
      <c r="O570" s="9"/>
      <c r="P570" s="9"/>
      <c r="Q570" s="9"/>
      <c r="R570" s="9"/>
      <c r="S570" s="9"/>
      <c r="T570" s="9"/>
      <c r="U570" s="9"/>
      <c r="V570" s="9"/>
      <c r="W570" s="9"/>
      <c r="X570" s="9"/>
      <c r="Y570" s="9"/>
      <c r="Z570" s="9"/>
      <c r="AA570" s="9"/>
      <c r="AB570" s="9"/>
      <c r="AC570" s="9"/>
    </row>
    <row r="571" ht="15.75" customHeight="1">
      <c r="B571" s="106"/>
      <c r="C571" s="107"/>
      <c r="D571" s="108"/>
      <c r="E571" s="109"/>
      <c r="F571" s="107"/>
      <c r="G571" s="110"/>
      <c r="H571" s="109"/>
      <c r="I571" s="9"/>
      <c r="J571" s="9"/>
      <c r="K571" s="9"/>
      <c r="L571" s="9"/>
      <c r="M571" s="9"/>
      <c r="N571" s="9"/>
      <c r="O571" s="9"/>
      <c r="P571" s="9"/>
      <c r="Q571" s="9"/>
      <c r="R571" s="9"/>
      <c r="S571" s="9"/>
      <c r="T571" s="9"/>
      <c r="U571" s="9"/>
      <c r="V571" s="9"/>
      <c r="W571" s="9"/>
      <c r="X571" s="9"/>
      <c r="Y571" s="9"/>
      <c r="Z571" s="9"/>
      <c r="AA571" s="9"/>
      <c r="AB571" s="9"/>
      <c r="AC571" s="9"/>
    </row>
    <row r="572" ht="15.75" customHeight="1">
      <c r="B572" s="106"/>
      <c r="C572" s="107"/>
      <c r="D572" s="108"/>
      <c r="E572" s="109"/>
      <c r="F572" s="107"/>
      <c r="G572" s="110"/>
      <c r="H572" s="109"/>
      <c r="I572" s="9"/>
      <c r="J572" s="9"/>
      <c r="K572" s="9"/>
      <c r="L572" s="9"/>
      <c r="M572" s="9"/>
      <c r="N572" s="9"/>
      <c r="O572" s="9"/>
      <c r="P572" s="9"/>
      <c r="Q572" s="9"/>
      <c r="R572" s="9"/>
      <c r="S572" s="9"/>
      <c r="T572" s="9"/>
      <c r="U572" s="9"/>
      <c r="V572" s="9"/>
      <c r="W572" s="9"/>
      <c r="X572" s="9"/>
      <c r="Y572" s="9"/>
      <c r="Z572" s="9"/>
      <c r="AA572" s="9"/>
      <c r="AB572" s="9"/>
      <c r="AC572" s="9"/>
    </row>
    <row r="573" ht="15.75" customHeight="1">
      <c r="B573" s="106"/>
      <c r="C573" s="107"/>
      <c r="D573" s="108"/>
      <c r="E573" s="109"/>
      <c r="F573" s="107"/>
      <c r="G573" s="110"/>
      <c r="H573" s="109"/>
      <c r="I573" s="9"/>
      <c r="J573" s="9"/>
      <c r="K573" s="9"/>
      <c r="L573" s="9"/>
      <c r="M573" s="9"/>
      <c r="N573" s="9"/>
      <c r="O573" s="9"/>
      <c r="P573" s="9"/>
      <c r="Q573" s="9"/>
      <c r="R573" s="9"/>
      <c r="S573" s="9"/>
      <c r="T573" s="9"/>
      <c r="U573" s="9"/>
      <c r="V573" s="9"/>
      <c r="W573" s="9"/>
      <c r="X573" s="9"/>
      <c r="Y573" s="9"/>
      <c r="Z573" s="9"/>
      <c r="AA573" s="9"/>
      <c r="AB573" s="9"/>
      <c r="AC573" s="9"/>
    </row>
    <row r="574" ht="15.75" customHeight="1">
      <c r="B574" s="106"/>
      <c r="C574" s="107"/>
      <c r="D574" s="108"/>
      <c r="E574" s="109"/>
      <c r="F574" s="107"/>
      <c r="G574" s="110"/>
      <c r="H574" s="109"/>
      <c r="I574" s="9"/>
      <c r="J574" s="9"/>
      <c r="K574" s="9"/>
      <c r="L574" s="9"/>
      <c r="M574" s="9"/>
      <c r="N574" s="9"/>
      <c r="O574" s="9"/>
      <c r="P574" s="9"/>
      <c r="Q574" s="9"/>
      <c r="R574" s="9"/>
      <c r="S574" s="9"/>
      <c r="T574" s="9"/>
      <c r="U574" s="9"/>
      <c r="V574" s="9"/>
      <c r="W574" s="9"/>
      <c r="X574" s="9"/>
      <c r="Y574" s="9"/>
      <c r="Z574" s="9"/>
      <c r="AA574" s="9"/>
      <c r="AB574" s="9"/>
      <c r="AC574" s="9"/>
    </row>
    <row r="575" ht="15.75" customHeight="1">
      <c r="B575" s="106"/>
      <c r="C575" s="107"/>
      <c r="D575" s="108"/>
      <c r="E575" s="109"/>
      <c r="F575" s="107"/>
      <c r="G575" s="110"/>
      <c r="H575" s="109"/>
      <c r="I575" s="9"/>
      <c r="J575" s="9"/>
      <c r="K575" s="9"/>
      <c r="L575" s="9"/>
      <c r="M575" s="9"/>
      <c r="N575" s="9"/>
      <c r="O575" s="9"/>
      <c r="P575" s="9"/>
      <c r="Q575" s="9"/>
      <c r="R575" s="9"/>
      <c r="S575" s="9"/>
      <c r="T575" s="9"/>
      <c r="U575" s="9"/>
      <c r="V575" s="9"/>
      <c r="W575" s="9"/>
      <c r="X575" s="9"/>
      <c r="Y575" s="9"/>
      <c r="Z575" s="9"/>
      <c r="AA575" s="9"/>
      <c r="AB575" s="9"/>
      <c r="AC575" s="9"/>
    </row>
    <row r="576" ht="15.75" customHeight="1">
      <c r="B576" s="106"/>
      <c r="C576" s="107"/>
      <c r="D576" s="108"/>
      <c r="E576" s="109"/>
      <c r="F576" s="107"/>
      <c r="G576" s="110"/>
      <c r="H576" s="109"/>
      <c r="I576" s="9"/>
      <c r="J576" s="9"/>
      <c r="K576" s="9"/>
      <c r="L576" s="9"/>
      <c r="M576" s="9"/>
      <c r="N576" s="9"/>
      <c r="O576" s="9"/>
      <c r="P576" s="9"/>
      <c r="Q576" s="9"/>
      <c r="R576" s="9"/>
      <c r="S576" s="9"/>
      <c r="T576" s="9"/>
      <c r="U576" s="9"/>
      <c r="V576" s="9"/>
      <c r="W576" s="9"/>
      <c r="X576" s="9"/>
      <c r="Y576" s="9"/>
      <c r="Z576" s="9"/>
      <c r="AA576" s="9"/>
      <c r="AB576" s="9"/>
      <c r="AC576" s="9"/>
    </row>
    <row r="577" ht="15.75" customHeight="1">
      <c r="B577" s="106"/>
      <c r="C577" s="107"/>
      <c r="D577" s="108"/>
      <c r="E577" s="109"/>
      <c r="F577" s="107"/>
      <c r="G577" s="110"/>
      <c r="H577" s="109"/>
      <c r="I577" s="9"/>
      <c r="J577" s="9"/>
      <c r="K577" s="9"/>
      <c r="L577" s="9"/>
      <c r="M577" s="9"/>
      <c r="N577" s="9"/>
      <c r="O577" s="9"/>
      <c r="P577" s="9"/>
      <c r="Q577" s="9"/>
      <c r="R577" s="9"/>
      <c r="S577" s="9"/>
      <c r="T577" s="9"/>
      <c r="U577" s="9"/>
      <c r="V577" s="9"/>
      <c r="W577" s="9"/>
      <c r="X577" s="9"/>
      <c r="Y577" s="9"/>
      <c r="Z577" s="9"/>
      <c r="AA577" s="9"/>
      <c r="AB577" s="9"/>
      <c r="AC577" s="9"/>
    </row>
    <row r="578" ht="15.75" customHeight="1">
      <c r="B578" s="106"/>
      <c r="C578" s="107"/>
      <c r="D578" s="108"/>
      <c r="E578" s="109"/>
      <c r="F578" s="107"/>
      <c r="G578" s="110"/>
      <c r="H578" s="109"/>
      <c r="I578" s="9"/>
      <c r="J578" s="9"/>
      <c r="K578" s="9"/>
      <c r="L578" s="9"/>
      <c r="M578" s="9"/>
      <c r="N578" s="9"/>
      <c r="O578" s="9"/>
      <c r="P578" s="9"/>
      <c r="Q578" s="9"/>
      <c r="R578" s="9"/>
      <c r="S578" s="9"/>
      <c r="T578" s="9"/>
      <c r="U578" s="9"/>
      <c r="V578" s="9"/>
      <c r="W578" s="9"/>
      <c r="X578" s="9"/>
      <c r="Y578" s="9"/>
      <c r="Z578" s="9"/>
      <c r="AA578" s="9"/>
      <c r="AB578" s="9"/>
      <c r="AC578" s="9"/>
    </row>
    <row r="579" ht="15.75" customHeight="1">
      <c r="B579" s="106"/>
      <c r="C579" s="107"/>
      <c r="D579" s="108"/>
      <c r="E579" s="109"/>
      <c r="F579" s="107"/>
      <c r="G579" s="110"/>
      <c r="H579" s="109"/>
      <c r="I579" s="9"/>
      <c r="J579" s="9"/>
      <c r="K579" s="9"/>
      <c r="L579" s="9"/>
      <c r="M579" s="9"/>
      <c r="N579" s="9"/>
      <c r="O579" s="9"/>
      <c r="P579" s="9"/>
      <c r="Q579" s="9"/>
      <c r="R579" s="9"/>
      <c r="S579" s="9"/>
      <c r="T579" s="9"/>
      <c r="U579" s="9"/>
      <c r="V579" s="9"/>
      <c r="W579" s="9"/>
      <c r="X579" s="9"/>
      <c r="Y579" s="9"/>
      <c r="Z579" s="9"/>
      <c r="AA579" s="9"/>
      <c r="AB579" s="9"/>
      <c r="AC579" s="9"/>
    </row>
    <row r="580" ht="15.75" customHeight="1">
      <c r="B580" s="106"/>
      <c r="C580" s="107"/>
      <c r="D580" s="108"/>
      <c r="E580" s="109"/>
      <c r="F580" s="107"/>
      <c r="G580" s="110"/>
      <c r="H580" s="109"/>
      <c r="I580" s="9"/>
      <c r="J580" s="9"/>
      <c r="K580" s="9"/>
      <c r="L580" s="9"/>
      <c r="M580" s="9"/>
      <c r="N580" s="9"/>
      <c r="O580" s="9"/>
      <c r="P580" s="9"/>
      <c r="Q580" s="9"/>
      <c r="R580" s="9"/>
      <c r="S580" s="9"/>
      <c r="T580" s="9"/>
      <c r="U580" s="9"/>
      <c r="V580" s="9"/>
      <c r="W580" s="9"/>
      <c r="X580" s="9"/>
      <c r="Y580" s="9"/>
      <c r="Z580" s="9"/>
      <c r="AA580" s="9"/>
      <c r="AB580" s="9"/>
      <c r="AC580" s="9"/>
    </row>
    <row r="581" ht="15.75" customHeight="1">
      <c r="B581" s="106"/>
      <c r="C581" s="107"/>
      <c r="D581" s="108"/>
      <c r="E581" s="109"/>
      <c r="F581" s="107"/>
      <c r="G581" s="110"/>
      <c r="H581" s="109"/>
      <c r="I581" s="9"/>
      <c r="J581" s="9"/>
      <c r="K581" s="9"/>
      <c r="L581" s="9"/>
      <c r="M581" s="9"/>
      <c r="N581" s="9"/>
      <c r="O581" s="9"/>
      <c r="P581" s="9"/>
      <c r="Q581" s="9"/>
      <c r="R581" s="9"/>
      <c r="S581" s="9"/>
      <c r="T581" s="9"/>
      <c r="U581" s="9"/>
      <c r="V581" s="9"/>
      <c r="W581" s="9"/>
      <c r="X581" s="9"/>
      <c r="Y581" s="9"/>
      <c r="Z581" s="9"/>
      <c r="AA581" s="9"/>
      <c r="AB581" s="9"/>
      <c r="AC581" s="9"/>
    </row>
    <row r="582" ht="15.75" customHeight="1">
      <c r="B582" s="106"/>
      <c r="C582" s="107"/>
      <c r="D582" s="108"/>
      <c r="E582" s="109"/>
      <c r="F582" s="107"/>
      <c r="G582" s="110"/>
      <c r="H582" s="109"/>
      <c r="I582" s="9"/>
      <c r="J582" s="9"/>
      <c r="K582" s="9"/>
      <c r="L582" s="9"/>
      <c r="M582" s="9"/>
      <c r="N582" s="9"/>
      <c r="O582" s="9"/>
      <c r="P582" s="9"/>
      <c r="Q582" s="9"/>
      <c r="R582" s="9"/>
      <c r="S582" s="9"/>
      <c r="T582" s="9"/>
      <c r="U582" s="9"/>
      <c r="V582" s="9"/>
      <c r="W582" s="9"/>
      <c r="X582" s="9"/>
      <c r="Y582" s="9"/>
      <c r="Z582" s="9"/>
      <c r="AA582" s="9"/>
      <c r="AB582" s="9"/>
      <c r="AC582" s="9"/>
    </row>
    <row r="583" ht="15.75" customHeight="1">
      <c r="B583" s="106"/>
      <c r="C583" s="107"/>
      <c r="D583" s="108"/>
      <c r="E583" s="109"/>
      <c r="F583" s="107"/>
      <c r="G583" s="110"/>
      <c r="H583" s="109"/>
      <c r="I583" s="9"/>
      <c r="J583" s="9"/>
      <c r="K583" s="9"/>
      <c r="L583" s="9"/>
      <c r="M583" s="9"/>
      <c r="N583" s="9"/>
      <c r="O583" s="9"/>
      <c r="P583" s="9"/>
      <c r="Q583" s="9"/>
      <c r="R583" s="9"/>
      <c r="S583" s="9"/>
      <c r="T583" s="9"/>
      <c r="U583" s="9"/>
      <c r="V583" s="9"/>
      <c r="W583" s="9"/>
      <c r="X583" s="9"/>
      <c r="Y583" s="9"/>
      <c r="Z583" s="9"/>
      <c r="AA583" s="9"/>
      <c r="AB583" s="9"/>
      <c r="AC583" s="9"/>
    </row>
    <row r="584" ht="15.75" customHeight="1">
      <c r="B584" s="106"/>
      <c r="C584" s="107"/>
      <c r="D584" s="108"/>
      <c r="E584" s="109"/>
      <c r="F584" s="107"/>
      <c r="G584" s="110"/>
      <c r="H584" s="109"/>
      <c r="I584" s="9"/>
      <c r="J584" s="9"/>
      <c r="K584" s="9"/>
      <c r="L584" s="9"/>
      <c r="M584" s="9"/>
      <c r="N584" s="9"/>
      <c r="O584" s="9"/>
      <c r="P584" s="9"/>
      <c r="Q584" s="9"/>
      <c r="R584" s="9"/>
      <c r="S584" s="9"/>
      <c r="T584" s="9"/>
      <c r="U584" s="9"/>
      <c r="V584" s="9"/>
      <c r="W584" s="9"/>
      <c r="X584" s="9"/>
      <c r="Y584" s="9"/>
      <c r="Z584" s="9"/>
      <c r="AA584" s="9"/>
      <c r="AB584" s="9"/>
      <c r="AC584" s="9"/>
    </row>
    <row r="585" ht="15.75" customHeight="1">
      <c r="B585" s="106"/>
      <c r="C585" s="107"/>
      <c r="D585" s="108"/>
      <c r="E585" s="109"/>
      <c r="F585" s="107"/>
      <c r="G585" s="110"/>
      <c r="H585" s="109"/>
      <c r="I585" s="9"/>
      <c r="J585" s="9"/>
      <c r="K585" s="9"/>
      <c r="L585" s="9"/>
      <c r="M585" s="9"/>
      <c r="N585" s="9"/>
      <c r="O585" s="9"/>
      <c r="P585" s="9"/>
      <c r="Q585" s="9"/>
      <c r="R585" s="9"/>
      <c r="S585" s="9"/>
      <c r="T585" s="9"/>
      <c r="U585" s="9"/>
      <c r="V585" s="9"/>
      <c r="W585" s="9"/>
      <c r="X585" s="9"/>
      <c r="Y585" s="9"/>
      <c r="Z585" s="9"/>
      <c r="AA585" s="9"/>
      <c r="AB585" s="9"/>
      <c r="AC585" s="9"/>
    </row>
    <row r="586" ht="15.75" customHeight="1">
      <c r="B586" s="106"/>
      <c r="C586" s="107"/>
      <c r="D586" s="108"/>
      <c r="E586" s="109"/>
      <c r="F586" s="107"/>
      <c r="G586" s="110"/>
      <c r="H586" s="109"/>
      <c r="I586" s="9"/>
      <c r="J586" s="9"/>
      <c r="K586" s="9"/>
      <c r="L586" s="9"/>
      <c r="M586" s="9"/>
      <c r="N586" s="9"/>
      <c r="O586" s="9"/>
      <c r="P586" s="9"/>
      <c r="Q586" s="9"/>
      <c r="R586" s="9"/>
      <c r="S586" s="9"/>
      <c r="T586" s="9"/>
      <c r="U586" s="9"/>
      <c r="V586" s="9"/>
      <c r="W586" s="9"/>
      <c r="X586" s="9"/>
      <c r="Y586" s="9"/>
      <c r="Z586" s="9"/>
      <c r="AA586" s="9"/>
      <c r="AB586" s="9"/>
      <c r="AC586" s="9"/>
    </row>
    <row r="587" ht="15.75" customHeight="1">
      <c r="B587" s="106"/>
      <c r="C587" s="107"/>
      <c r="D587" s="108"/>
      <c r="E587" s="109"/>
      <c r="F587" s="107"/>
      <c r="G587" s="110"/>
      <c r="H587" s="109"/>
      <c r="I587" s="9"/>
      <c r="J587" s="9"/>
      <c r="K587" s="9"/>
      <c r="L587" s="9"/>
      <c r="M587" s="9"/>
      <c r="N587" s="9"/>
      <c r="O587" s="9"/>
      <c r="P587" s="9"/>
      <c r="Q587" s="9"/>
      <c r="R587" s="9"/>
      <c r="S587" s="9"/>
      <c r="T587" s="9"/>
      <c r="U587" s="9"/>
      <c r="V587" s="9"/>
      <c r="W587" s="9"/>
      <c r="X587" s="9"/>
      <c r="Y587" s="9"/>
      <c r="Z587" s="9"/>
      <c r="AA587" s="9"/>
      <c r="AB587" s="9"/>
      <c r="AC587" s="9"/>
    </row>
    <row r="588" ht="15.75" customHeight="1">
      <c r="B588" s="106"/>
      <c r="C588" s="107"/>
      <c r="D588" s="108"/>
      <c r="E588" s="109"/>
      <c r="F588" s="107"/>
      <c r="G588" s="110"/>
      <c r="H588" s="109"/>
      <c r="I588" s="9"/>
      <c r="J588" s="9"/>
      <c r="K588" s="9"/>
      <c r="L588" s="9"/>
      <c r="M588" s="9"/>
      <c r="N588" s="9"/>
      <c r="O588" s="9"/>
      <c r="P588" s="9"/>
      <c r="Q588" s="9"/>
      <c r="R588" s="9"/>
      <c r="S588" s="9"/>
      <c r="T588" s="9"/>
      <c r="U588" s="9"/>
      <c r="V588" s="9"/>
      <c r="W588" s="9"/>
      <c r="X588" s="9"/>
      <c r="Y588" s="9"/>
      <c r="Z588" s="9"/>
      <c r="AA588" s="9"/>
      <c r="AB588" s="9"/>
      <c r="AC588" s="9"/>
    </row>
    <row r="589" ht="15.75" customHeight="1">
      <c r="B589" s="106"/>
      <c r="C589" s="107"/>
      <c r="D589" s="108"/>
      <c r="E589" s="109"/>
      <c r="F589" s="107"/>
      <c r="G589" s="110"/>
      <c r="H589" s="109"/>
      <c r="I589" s="9"/>
      <c r="J589" s="9"/>
      <c r="K589" s="9"/>
      <c r="L589" s="9"/>
      <c r="M589" s="9"/>
      <c r="N589" s="9"/>
      <c r="O589" s="9"/>
      <c r="P589" s="9"/>
      <c r="Q589" s="9"/>
      <c r="R589" s="9"/>
      <c r="S589" s="9"/>
      <c r="T589" s="9"/>
      <c r="U589" s="9"/>
      <c r="V589" s="9"/>
      <c r="W589" s="9"/>
      <c r="X589" s="9"/>
      <c r="Y589" s="9"/>
      <c r="Z589" s="9"/>
      <c r="AA589" s="9"/>
      <c r="AB589" s="9"/>
      <c r="AC589" s="9"/>
    </row>
    <row r="590" ht="15.75" customHeight="1">
      <c r="B590" s="106"/>
      <c r="C590" s="107"/>
      <c r="D590" s="108"/>
      <c r="E590" s="109"/>
      <c r="F590" s="107"/>
      <c r="G590" s="110"/>
      <c r="H590" s="109"/>
      <c r="I590" s="9"/>
      <c r="J590" s="9"/>
      <c r="K590" s="9"/>
      <c r="L590" s="9"/>
      <c r="M590" s="9"/>
      <c r="N590" s="9"/>
      <c r="O590" s="9"/>
      <c r="P590" s="9"/>
      <c r="Q590" s="9"/>
      <c r="R590" s="9"/>
      <c r="S590" s="9"/>
      <c r="T590" s="9"/>
      <c r="U590" s="9"/>
      <c r="V590" s="9"/>
      <c r="W590" s="9"/>
      <c r="X590" s="9"/>
      <c r="Y590" s="9"/>
      <c r="Z590" s="9"/>
      <c r="AA590" s="9"/>
      <c r="AB590" s="9"/>
      <c r="AC590" s="9"/>
    </row>
    <row r="591" ht="15.75" customHeight="1">
      <c r="B591" s="106"/>
      <c r="C591" s="107"/>
      <c r="D591" s="108"/>
      <c r="E591" s="109"/>
      <c r="F591" s="107"/>
      <c r="G591" s="110"/>
      <c r="H591" s="109"/>
      <c r="I591" s="9"/>
      <c r="J591" s="9"/>
      <c r="K591" s="9"/>
      <c r="L591" s="9"/>
      <c r="M591" s="9"/>
      <c r="N591" s="9"/>
      <c r="O591" s="9"/>
      <c r="P591" s="9"/>
      <c r="Q591" s="9"/>
      <c r="R591" s="9"/>
      <c r="S591" s="9"/>
      <c r="T591" s="9"/>
      <c r="U591" s="9"/>
      <c r="V591" s="9"/>
      <c r="W591" s="9"/>
      <c r="X591" s="9"/>
      <c r="Y591" s="9"/>
      <c r="Z591" s="9"/>
      <c r="AA591" s="9"/>
      <c r="AB591" s="9"/>
      <c r="AC591" s="9"/>
    </row>
    <row r="592" ht="15.75" customHeight="1">
      <c r="B592" s="106"/>
      <c r="C592" s="107"/>
      <c r="D592" s="108"/>
      <c r="E592" s="109"/>
      <c r="F592" s="107"/>
      <c r="G592" s="110"/>
      <c r="H592" s="109"/>
      <c r="I592" s="9"/>
      <c r="J592" s="9"/>
      <c r="K592" s="9"/>
      <c r="L592" s="9"/>
      <c r="M592" s="9"/>
      <c r="N592" s="9"/>
      <c r="O592" s="9"/>
      <c r="P592" s="9"/>
      <c r="Q592" s="9"/>
      <c r="R592" s="9"/>
      <c r="S592" s="9"/>
      <c r="T592" s="9"/>
      <c r="U592" s="9"/>
      <c r="V592" s="9"/>
      <c r="W592" s="9"/>
      <c r="X592" s="9"/>
      <c r="Y592" s="9"/>
      <c r="Z592" s="9"/>
      <c r="AA592" s="9"/>
      <c r="AB592" s="9"/>
      <c r="AC592" s="9"/>
    </row>
    <row r="593" ht="15.75" customHeight="1">
      <c r="B593" s="106"/>
      <c r="C593" s="107"/>
      <c r="D593" s="108"/>
      <c r="E593" s="109"/>
      <c r="F593" s="107"/>
      <c r="G593" s="110"/>
      <c r="H593" s="109"/>
      <c r="I593" s="9"/>
      <c r="J593" s="9"/>
      <c r="K593" s="9"/>
      <c r="L593" s="9"/>
      <c r="M593" s="9"/>
      <c r="N593" s="9"/>
      <c r="O593" s="9"/>
      <c r="P593" s="9"/>
      <c r="Q593" s="9"/>
      <c r="R593" s="9"/>
      <c r="S593" s="9"/>
      <c r="T593" s="9"/>
      <c r="U593" s="9"/>
      <c r="V593" s="9"/>
      <c r="W593" s="9"/>
      <c r="X593" s="9"/>
      <c r="Y593" s="9"/>
      <c r="Z593" s="9"/>
      <c r="AA593" s="9"/>
      <c r="AB593" s="9"/>
      <c r="AC593" s="9"/>
    </row>
    <row r="594" ht="15.75" customHeight="1">
      <c r="B594" s="106"/>
      <c r="C594" s="107"/>
      <c r="D594" s="108"/>
      <c r="E594" s="109"/>
      <c r="F594" s="107"/>
      <c r="G594" s="110"/>
      <c r="H594" s="109"/>
      <c r="I594" s="9"/>
      <c r="J594" s="9"/>
      <c r="K594" s="9"/>
      <c r="L594" s="9"/>
      <c r="M594" s="9"/>
      <c r="N594" s="9"/>
      <c r="O594" s="9"/>
      <c r="P594" s="9"/>
      <c r="Q594" s="9"/>
      <c r="R594" s="9"/>
      <c r="S594" s="9"/>
      <c r="T594" s="9"/>
      <c r="U594" s="9"/>
      <c r="V594" s="9"/>
      <c r="W594" s="9"/>
      <c r="X594" s="9"/>
      <c r="Y594" s="9"/>
      <c r="Z594" s="9"/>
      <c r="AA594" s="9"/>
      <c r="AB594" s="9"/>
      <c r="AC594" s="9"/>
    </row>
    <row r="595" ht="15.75" customHeight="1">
      <c r="B595" s="106"/>
      <c r="C595" s="107"/>
      <c r="D595" s="108"/>
      <c r="E595" s="109"/>
      <c r="F595" s="107"/>
      <c r="G595" s="110"/>
      <c r="H595" s="109"/>
      <c r="I595" s="9"/>
      <c r="J595" s="9"/>
      <c r="K595" s="9"/>
      <c r="L595" s="9"/>
      <c r="M595" s="9"/>
      <c r="N595" s="9"/>
      <c r="O595" s="9"/>
      <c r="P595" s="9"/>
      <c r="Q595" s="9"/>
      <c r="R595" s="9"/>
      <c r="S595" s="9"/>
      <c r="T595" s="9"/>
      <c r="U595" s="9"/>
      <c r="V595" s="9"/>
      <c r="W595" s="9"/>
      <c r="X595" s="9"/>
      <c r="Y595" s="9"/>
      <c r="Z595" s="9"/>
      <c r="AA595" s="9"/>
      <c r="AB595" s="9"/>
      <c r="AC595" s="9"/>
    </row>
    <row r="596" ht="15.75" customHeight="1">
      <c r="B596" s="106"/>
      <c r="C596" s="107"/>
      <c r="D596" s="108"/>
      <c r="E596" s="109"/>
      <c r="F596" s="107"/>
      <c r="G596" s="110"/>
      <c r="H596" s="109"/>
      <c r="I596" s="9"/>
      <c r="J596" s="9"/>
      <c r="K596" s="9"/>
      <c r="L596" s="9"/>
      <c r="M596" s="9"/>
      <c r="N596" s="9"/>
      <c r="O596" s="9"/>
      <c r="P596" s="9"/>
      <c r="Q596" s="9"/>
      <c r="R596" s="9"/>
      <c r="S596" s="9"/>
      <c r="T596" s="9"/>
      <c r="U596" s="9"/>
      <c r="V596" s="9"/>
      <c r="W596" s="9"/>
      <c r="X596" s="9"/>
      <c r="Y596" s="9"/>
      <c r="Z596" s="9"/>
      <c r="AA596" s="9"/>
      <c r="AB596" s="9"/>
      <c r="AC596" s="9"/>
    </row>
    <row r="597" ht="15.75" customHeight="1">
      <c r="B597" s="106"/>
      <c r="C597" s="107"/>
      <c r="D597" s="108"/>
      <c r="E597" s="109"/>
      <c r="F597" s="107"/>
      <c r="G597" s="110"/>
      <c r="H597" s="109"/>
      <c r="I597" s="9"/>
      <c r="J597" s="9"/>
      <c r="K597" s="9"/>
      <c r="L597" s="9"/>
      <c r="M597" s="9"/>
      <c r="N597" s="9"/>
      <c r="O597" s="9"/>
      <c r="P597" s="9"/>
      <c r="Q597" s="9"/>
      <c r="R597" s="9"/>
      <c r="S597" s="9"/>
      <c r="T597" s="9"/>
      <c r="U597" s="9"/>
      <c r="V597" s="9"/>
      <c r="W597" s="9"/>
      <c r="X597" s="9"/>
      <c r="Y597" s="9"/>
      <c r="Z597" s="9"/>
      <c r="AA597" s="9"/>
      <c r="AB597" s="9"/>
      <c r="AC597" s="9"/>
    </row>
    <row r="598" ht="15.75" customHeight="1">
      <c r="B598" s="106"/>
      <c r="C598" s="107"/>
      <c r="D598" s="108"/>
      <c r="E598" s="109"/>
      <c r="F598" s="107"/>
      <c r="G598" s="110"/>
      <c r="H598" s="109"/>
      <c r="I598" s="9"/>
      <c r="J598" s="9"/>
      <c r="K598" s="9"/>
      <c r="L598" s="9"/>
      <c r="M598" s="9"/>
      <c r="N598" s="9"/>
      <c r="O598" s="9"/>
      <c r="P598" s="9"/>
      <c r="Q598" s="9"/>
      <c r="R598" s="9"/>
      <c r="S598" s="9"/>
      <c r="T598" s="9"/>
      <c r="U598" s="9"/>
      <c r="V598" s="9"/>
      <c r="W598" s="9"/>
      <c r="X598" s="9"/>
      <c r="Y598" s="9"/>
      <c r="Z598" s="9"/>
      <c r="AA598" s="9"/>
      <c r="AB598" s="9"/>
      <c r="AC598" s="9"/>
    </row>
    <row r="599" ht="15.75" customHeight="1">
      <c r="B599" s="106"/>
      <c r="C599" s="107"/>
      <c r="D599" s="108"/>
      <c r="E599" s="109"/>
      <c r="F599" s="107"/>
      <c r="G599" s="110"/>
      <c r="H599" s="109"/>
      <c r="I599" s="9"/>
      <c r="J599" s="9"/>
      <c r="K599" s="9"/>
      <c r="L599" s="9"/>
      <c r="M599" s="9"/>
      <c r="N599" s="9"/>
      <c r="O599" s="9"/>
      <c r="P599" s="9"/>
      <c r="Q599" s="9"/>
      <c r="R599" s="9"/>
      <c r="S599" s="9"/>
      <c r="T599" s="9"/>
      <c r="U599" s="9"/>
      <c r="V599" s="9"/>
      <c r="W599" s="9"/>
      <c r="X599" s="9"/>
      <c r="Y599" s="9"/>
      <c r="Z599" s="9"/>
      <c r="AA599" s="9"/>
      <c r="AB599" s="9"/>
      <c r="AC599" s="9"/>
    </row>
    <row r="600" ht="15.75" customHeight="1">
      <c r="B600" s="106"/>
      <c r="C600" s="107"/>
      <c r="D600" s="108"/>
      <c r="E600" s="109"/>
      <c r="F600" s="107"/>
      <c r="G600" s="110"/>
      <c r="H600" s="109"/>
      <c r="I600" s="9"/>
      <c r="J600" s="9"/>
      <c r="K600" s="9"/>
      <c r="L600" s="9"/>
      <c r="M600" s="9"/>
      <c r="N600" s="9"/>
      <c r="O600" s="9"/>
      <c r="P600" s="9"/>
      <c r="Q600" s="9"/>
      <c r="R600" s="9"/>
      <c r="S600" s="9"/>
      <c r="T600" s="9"/>
      <c r="U600" s="9"/>
      <c r="V600" s="9"/>
      <c r="W600" s="9"/>
      <c r="X600" s="9"/>
      <c r="Y600" s="9"/>
      <c r="Z600" s="9"/>
      <c r="AA600" s="9"/>
      <c r="AB600" s="9"/>
      <c r="AC600" s="9"/>
    </row>
    <row r="601" ht="15.75" customHeight="1">
      <c r="B601" s="106"/>
      <c r="C601" s="107"/>
      <c r="D601" s="108"/>
      <c r="E601" s="109"/>
      <c r="F601" s="107"/>
      <c r="G601" s="110"/>
      <c r="H601" s="109"/>
      <c r="I601" s="9"/>
      <c r="J601" s="9"/>
      <c r="K601" s="9"/>
      <c r="L601" s="9"/>
      <c r="M601" s="9"/>
      <c r="N601" s="9"/>
      <c r="O601" s="9"/>
      <c r="P601" s="9"/>
      <c r="Q601" s="9"/>
      <c r="R601" s="9"/>
      <c r="S601" s="9"/>
      <c r="T601" s="9"/>
      <c r="U601" s="9"/>
      <c r="V601" s="9"/>
      <c r="W601" s="9"/>
      <c r="X601" s="9"/>
      <c r="Y601" s="9"/>
      <c r="Z601" s="9"/>
      <c r="AA601" s="9"/>
      <c r="AB601" s="9"/>
      <c r="AC601" s="9"/>
    </row>
    <row r="602" ht="15.75" customHeight="1">
      <c r="B602" s="106"/>
      <c r="C602" s="107"/>
      <c r="D602" s="108"/>
      <c r="E602" s="109"/>
      <c r="F602" s="107"/>
      <c r="G602" s="110"/>
      <c r="H602" s="109"/>
      <c r="I602" s="9"/>
      <c r="J602" s="9"/>
      <c r="K602" s="9"/>
      <c r="L602" s="9"/>
      <c r="M602" s="9"/>
      <c r="N602" s="9"/>
      <c r="O602" s="9"/>
      <c r="P602" s="9"/>
      <c r="Q602" s="9"/>
      <c r="R602" s="9"/>
      <c r="S602" s="9"/>
      <c r="T602" s="9"/>
      <c r="U602" s="9"/>
      <c r="V602" s="9"/>
      <c r="W602" s="9"/>
      <c r="X602" s="9"/>
      <c r="Y602" s="9"/>
      <c r="Z602" s="9"/>
      <c r="AA602" s="9"/>
      <c r="AB602" s="9"/>
      <c r="AC602" s="9"/>
    </row>
    <row r="603" ht="15.75" customHeight="1">
      <c r="B603" s="106"/>
      <c r="C603" s="107"/>
      <c r="D603" s="108"/>
      <c r="E603" s="109"/>
      <c r="F603" s="107"/>
      <c r="G603" s="110"/>
      <c r="H603" s="109"/>
      <c r="I603" s="9"/>
      <c r="J603" s="9"/>
      <c r="K603" s="9"/>
      <c r="L603" s="9"/>
      <c r="M603" s="9"/>
      <c r="N603" s="9"/>
      <c r="O603" s="9"/>
      <c r="P603" s="9"/>
      <c r="Q603" s="9"/>
      <c r="R603" s="9"/>
      <c r="S603" s="9"/>
      <c r="T603" s="9"/>
      <c r="U603" s="9"/>
      <c r="V603" s="9"/>
      <c r="W603" s="9"/>
      <c r="X603" s="9"/>
      <c r="Y603" s="9"/>
      <c r="Z603" s="9"/>
      <c r="AA603" s="9"/>
      <c r="AB603" s="9"/>
      <c r="AC603" s="9"/>
    </row>
    <row r="604" ht="15.75" customHeight="1">
      <c r="B604" s="106"/>
      <c r="C604" s="107"/>
      <c r="D604" s="108"/>
      <c r="E604" s="109"/>
      <c r="F604" s="107"/>
      <c r="G604" s="110"/>
      <c r="H604" s="109"/>
      <c r="I604" s="9"/>
      <c r="J604" s="9"/>
      <c r="K604" s="9"/>
      <c r="L604" s="9"/>
      <c r="M604" s="9"/>
      <c r="N604" s="9"/>
      <c r="O604" s="9"/>
      <c r="P604" s="9"/>
      <c r="Q604" s="9"/>
      <c r="R604" s="9"/>
      <c r="S604" s="9"/>
      <c r="T604" s="9"/>
      <c r="U604" s="9"/>
      <c r="V604" s="9"/>
      <c r="W604" s="9"/>
      <c r="X604" s="9"/>
      <c r="Y604" s="9"/>
      <c r="Z604" s="9"/>
      <c r="AA604" s="9"/>
      <c r="AB604" s="9"/>
      <c r="AC604" s="9"/>
    </row>
    <row r="605" ht="15.75" customHeight="1">
      <c r="B605" s="106"/>
      <c r="C605" s="107"/>
      <c r="D605" s="108"/>
      <c r="E605" s="109"/>
      <c r="F605" s="107"/>
      <c r="G605" s="110"/>
      <c r="H605" s="109"/>
      <c r="I605" s="9"/>
      <c r="J605" s="9"/>
      <c r="K605" s="9"/>
      <c r="L605" s="9"/>
      <c r="M605" s="9"/>
      <c r="N605" s="9"/>
      <c r="O605" s="9"/>
      <c r="P605" s="9"/>
      <c r="Q605" s="9"/>
      <c r="R605" s="9"/>
      <c r="S605" s="9"/>
      <c r="T605" s="9"/>
      <c r="U605" s="9"/>
      <c r="V605" s="9"/>
      <c r="W605" s="9"/>
      <c r="X605" s="9"/>
      <c r="Y605" s="9"/>
      <c r="Z605" s="9"/>
      <c r="AA605" s="9"/>
      <c r="AB605" s="9"/>
      <c r="AC605" s="9"/>
    </row>
    <row r="606" ht="15.75" customHeight="1">
      <c r="B606" s="106"/>
      <c r="C606" s="107"/>
      <c r="D606" s="108"/>
      <c r="E606" s="109"/>
      <c r="F606" s="107"/>
      <c r="G606" s="110"/>
      <c r="H606" s="109"/>
      <c r="I606" s="9"/>
      <c r="J606" s="9"/>
      <c r="K606" s="9"/>
      <c r="L606" s="9"/>
      <c r="M606" s="9"/>
      <c r="N606" s="9"/>
      <c r="O606" s="9"/>
      <c r="P606" s="9"/>
      <c r="Q606" s="9"/>
      <c r="R606" s="9"/>
      <c r="S606" s="9"/>
      <c r="T606" s="9"/>
      <c r="U606" s="9"/>
      <c r="V606" s="9"/>
      <c r="W606" s="9"/>
      <c r="X606" s="9"/>
      <c r="Y606" s="9"/>
      <c r="Z606" s="9"/>
      <c r="AA606" s="9"/>
      <c r="AB606" s="9"/>
      <c r="AC606" s="9"/>
    </row>
    <row r="607" ht="15.75" customHeight="1">
      <c r="B607" s="106"/>
      <c r="C607" s="107"/>
      <c r="D607" s="108"/>
      <c r="E607" s="109"/>
      <c r="F607" s="107"/>
      <c r="G607" s="110"/>
      <c r="H607" s="109"/>
      <c r="I607" s="9"/>
      <c r="J607" s="9"/>
      <c r="K607" s="9"/>
      <c r="L607" s="9"/>
      <c r="M607" s="9"/>
      <c r="N607" s="9"/>
      <c r="O607" s="9"/>
      <c r="P607" s="9"/>
      <c r="Q607" s="9"/>
      <c r="R607" s="9"/>
      <c r="S607" s="9"/>
      <c r="T607" s="9"/>
      <c r="U607" s="9"/>
      <c r="V607" s="9"/>
      <c r="W607" s="9"/>
      <c r="X607" s="9"/>
      <c r="Y607" s="9"/>
      <c r="Z607" s="9"/>
      <c r="AA607" s="9"/>
      <c r="AB607" s="9"/>
      <c r="AC607" s="9"/>
    </row>
    <row r="608" ht="15.75" customHeight="1">
      <c r="B608" s="106"/>
      <c r="C608" s="107"/>
      <c r="D608" s="108"/>
      <c r="E608" s="109"/>
      <c r="F608" s="107"/>
      <c r="G608" s="110"/>
      <c r="H608" s="109"/>
      <c r="I608" s="9"/>
      <c r="J608" s="9"/>
      <c r="K608" s="9"/>
      <c r="L608" s="9"/>
      <c r="M608" s="9"/>
      <c r="N608" s="9"/>
      <c r="O608" s="9"/>
      <c r="P608" s="9"/>
      <c r="Q608" s="9"/>
      <c r="R608" s="9"/>
      <c r="S608" s="9"/>
      <c r="T608" s="9"/>
      <c r="U608" s="9"/>
      <c r="V608" s="9"/>
      <c r="W608" s="9"/>
      <c r="X608" s="9"/>
      <c r="Y608" s="9"/>
      <c r="Z608" s="9"/>
      <c r="AA608" s="9"/>
      <c r="AB608" s="9"/>
      <c r="AC608" s="9"/>
    </row>
    <row r="609" ht="15.75" customHeight="1">
      <c r="B609" s="106"/>
      <c r="C609" s="107"/>
      <c r="D609" s="108"/>
      <c r="E609" s="109"/>
      <c r="F609" s="107"/>
      <c r="G609" s="110"/>
      <c r="H609" s="109"/>
      <c r="I609" s="9"/>
      <c r="J609" s="9"/>
      <c r="K609" s="9"/>
      <c r="L609" s="9"/>
      <c r="M609" s="9"/>
      <c r="N609" s="9"/>
      <c r="O609" s="9"/>
      <c r="P609" s="9"/>
      <c r="Q609" s="9"/>
      <c r="R609" s="9"/>
      <c r="S609" s="9"/>
      <c r="T609" s="9"/>
      <c r="U609" s="9"/>
      <c r="V609" s="9"/>
      <c r="W609" s="9"/>
      <c r="X609" s="9"/>
      <c r="Y609" s="9"/>
      <c r="Z609" s="9"/>
      <c r="AA609" s="9"/>
      <c r="AB609" s="9"/>
      <c r="AC609" s="9"/>
    </row>
    <row r="610" ht="15.75" customHeight="1">
      <c r="B610" s="106"/>
      <c r="C610" s="107"/>
      <c r="D610" s="108"/>
      <c r="E610" s="109"/>
      <c r="F610" s="107"/>
      <c r="G610" s="110"/>
      <c r="H610" s="109"/>
      <c r="I610" s="9"/>
      <c r="J610" s="9"/>
      <c r="K610" s="9"/>
      <c r="L610" s="9"/>
      <c r="M610" s="9"/>
      <c r="N610" s="9"/>
      <c r="O610" s="9"/>
      <c r="P610" s="9"/>
      <c r="Q610" s="9"/>
      <c r="R610" s="9"/>
      <c r="S610" s="9"/>
      <c r="T610" s="9"/>
      <c r="U610" s="9"/>
      <c r="V610" s="9"/>
      <c r="W610" s="9"/>
      <c r="X610" s="9"/>
      <c r="Y610" s="9"/>
      <c r="Z610" s="9"/>
      <c r="AA610" s="9"/>
      <c r="AB610" s="9"/>
      <c r="AC610" s="9"/>
    </row>
    <row r="611" ht="15.75" customHeight="1">
      <c r="B611" s="106"/>
      <c r="C611" s="107"/>
      <c r="D611" s="108"/>
      <c r="E611" s="109"/>
      <c r="F611" s="107"/>
      <c r="G611" s="110"/>
      <c r="H611" s="109"/>
      <c r="I611" s="9"/>
      <c r="J611" s="9"/>
      <c r="K611" s="9"/>
      <c r="L611" s="9"/>
      <c r="M611" s="9"/>
      <c r="N611" s="9"/>
      <c r="O611" s="9"/>
      <c r="P611" s="9"/>
      <c r="Q611" s="9"/>
      <c r="R611" s="9"/>
      <c r="S611" s="9"/>
      <c r="T611" s="9"/>
      <c r="U611" s="9"/>
      <c r="V611" s="9"/>
      <c r="W611" s="9"/>
      <c r="X611" s="9"/>
      <c r="Y611" s="9"/>
      <c r="Z611" s="9"/>
      <c r="AA611" s="9"/>
      <c r="AB611" s="9"/>
      <c r="AC611" s="9"/>
    </row>
    <row r="612" ht="15.75" customHeight="1">
      <c r="B612" s="106"/>
      <c r="C612" s="107"/>
      <c r="D612" s="108"/>
      <c r="E612" s="109"/>
      <c r="F612" s="107"/>
      <c r="G612" s="110"/>
      <c r="H612" s="109"/>
      <c r="I612" s="9"/>
      <c r="J612" s="9"/>
      <c r="K612" s="9"/>
      <c r="L612" s="9"/>
      <c r="M612" s="9"/>
      <c r="N612" s="9"/>
      <c r="O612" s="9"/>
      <c r="P612" s="9"/>
      <c r="Q612" s="9"/>
      <c r="R612" s="9"/>
      <c r="S612" s="9"/>
      <c r="T612" s="9"/>
      <c r="U612" s="9"/>
      <c r="V612" s="9"/>
      <c r="W612" s="9"/>
      <c r="X612" s="9"/>
      <c r="Y612" s="9"/>
      <c r="Z612" s="9"/>
      <c r="AA612" s="9"/>
      <c r="AB612" s="9"/>
      <c r="AC612" s="9"/>
    </row>
    <row r="613" ht="15.75" customHeight="1">
      <c r="B613" s="106"/>
      <c r="C613" s="107"/>
      <c r="D613" s="108"/>
      <c r="E613" s="109"/>
      <c r="F613" s="107"/>
      <c r="G613" s="110"/>
      <c r="H613" s="109"/>
      <c r="I613" s="9"/>
      <c r="J613" s="9"/>
      <c r="K613" s="9"/>
      <c r="L613" s="9"/>
      <c r="M613" s="9"/>
      <c r="N613" s="9"/>
      <c r="O613" s="9"/>
      <c r="P613" s="9"/>
      <c r="Q613" s="9"/>
      <c r="R613" s="9"/>
      <c r="S613" s="9"/>
      <c r="T613" s="9"/>
      <c r="U613" s="9"/>
      <c r="V613" s="9"/>
      <c r="W613" s="9"/>
      <c r="X613" s="9"/>
      <c r="Y613" s="9"/>
      <c r="Z613" s="9"/>
      <c r="AA613" s="9"/>
      <c r="AB613" s="9"/>
      <c r="AC613" s="9"/>
    </row>
    <row r="614" ht="15.75" customHeight="1">
      <c r="B614" s="106"/>
      <c r="C614" s="107"/>
      <c r="D614" s="108"/>
      <c r="E614" s="109"/>
      <c r="F614" s="107"/>
      <c r="G614" s="110"/>
      <c r="H614" s="109"/>
      <c r="I614" s="9"/>
      <c r="J614" s="9"/>
      <c r="K614" s="9"/>
      <c r="L614" s="9"/>
      <c r="M614" s="9"/>
      <c r="N614" s="9"/>
      <c r="O614" s="9"/>
      <c r="P614" s="9"/>
      <c r="Q614" s="9"/>
      <c r="R614" s="9"/>
      <c r="S614" s="9"/>
      <c r="T614" s="9"/>
      <c r="U614" s="9"/>
      <c r="V614" s="9"/>
      <c r="W614" s="9"/>
      <c r="X614" s="9"/>
      <c r="Y614" s="9"/>
      <c r="Z614" s="9"/>
      <c r="AA614" s="9"/>
      <c r="AB614" s="9"/>
      <c r="AC614" s="9"/>
    </row>
    <row r="615" ht="15.75" customHeight="1">
      <c r="B615" s="106"/>
      <c r="C615" s="107"/>
      <c r="D615" s="108"/>
      <c r="E615" s="109"/>
      <c r="F615" s="107"/>
      <c r="G615" s="110"/>
      <c r="H615" s="109"/>
      <c r="I615" s="9"/>
      <c r="J615" s="9"/>
      <c r="K615" s="9"/>
      <c r="L615" s="9"/>
      <c r="M615" s="9"/>
      <c r="N615" s="9"/>
      <c r="O615" s="9"/>
      <c r="P615" s="9"/>
      <c r="Q615" s="9"/>
      <c r="R615" s="9"/>
      <c r="S615" s="9"/>
      <c r="T615" s="9"/>
      <c r="U615" s="9"/>
      <c r="V615" s="9"/>
      <c r="W615" s="9"/>
      <c r="X615" s="9"/>
      <c r="Y615" s="9"/>
      <c r="Z615" s="9"/>
      <c r="AA615" s="9"/>
      <c r="AB615" s="9"/>
      <c r="AC615" s="9"/>
    </row>
    <row r="616" ht="15.75" customHeight="1">
      <c r="B616" s="106"/>
      <c r="C616" s="107"/>
      <c r="D616" s="108"/>
      <c r="E616" s="109"/>
      <c r="F616" s="107"/>
      <c r="G616" s="110"/>
      <c r="H616" s="109"/>
      <c r="I616" s="9"/>
      <c r="J616" s="9"/>
      <c r="K616" s="9"/>
      <c r="L616" s="9"/>
      <c r="M616" s="9"/>
      <c r="N616" s="9"/>
      <c r="O616" s="9"/>
      <c r="P616" s="9"/>
      <c r="Q616" s="9"/>
      <c r="R616" s="9"/>
      <c r="S616" s="9"/>
      <c r="T616" s="9"/>
      <c r="U616" s="9"/>
      <c r="V616" s="9"/>
      <c r="W616" s="9"/>
      <c r="X616" s="9"/>
      <c r="Y616" s="9"/>
      <c r="Z616" s="9"/>
      <c r="AA616" s="9"/>
      <c r="AB616" s="9"/>
      <c r="AC616" s="9"/>
    </row>
    <row r="617" ht="15.75" customHeight="1">
      <c r="B617" s="106"/>
      <c r="C617" s="107"/>
      <c r="D617" s="108"/>
      <c r="E617" s="109"/>
      <c r="F617" s="107"/>
      <c r="G617" s="110"/>
      <c r="H617" s="109"/>
      <c r="I617" s="9"/>
      <c r="J617" s="9"/>
      <c r="K617" s="9"/>
      <c r="L617" s="9"/>
      <c r="M617" s="9"/>
      <c r="N617" s="9"/>
      <c r="O617" s="9"/>
      <c r="P617" s="9"/>
      <c r="Q617" s="9"/>
      <c r="R617" s="9"/>
      <c r="S617" s="9"/>
      <c r="T617" s="9"/>
      <c r="U617" s="9"/>
      <c r="V617" s="9"/>
      <c r="W617" s="9"/>
      <c r="X617" s="9"/>
      <c r="Y617" s="9"/>
      <c r="Z617" s="9"/>
      <c r="AA617" s="9"/>
      <c r="AB617" s="9"/>
      <c r="AC617" s="9"/>
    </row>
    <row r="618" ht="15.75" customHeight="1">
      <c r="B618" s="106"/>
      <c r="C618" s="107"/>
      <c r="D618" s="108"/>
      <c r="E618" s="109"/>
      <c r="F618" s="107"/>
      <c r="G618" s="110"/>
      <c r="H618" s="109"/>
      <c r="I618" s="9"/>
      <c r="J618" s="9"/>
      <c r="K618" s="9"/>
      <c r="L618" s="9"/>
      <c r="M618" s="9"/>
      <c r="N618" s="9"/>
      <c r="O618" s="9"/>
      <c r="P618" s="9"/>
      <c r="Q618" s="9"/>
      <c r="R618" s="9"/>
      <c r="S618" s="9"/>
      <c r="T618" s="9"/>
      <c r="U618" s="9"/>
      <c r="V618" s="9"/>
      <c r="W618" s="9"/>
      <c r="X618" s="9"/>
      <c r="Y618" s="9"/>
      <c r="Z618" s="9"/>
      <c r="AA618" s="9"/>
      <c r="AB618" s="9"/>
      <c r="AC618" s="9"/>
    </row>
    <row r="619" ht="15.75" customHeight="1">
      <c r="B619" s="106"/>
      <c r="C619" s="107"/>
      <c r="D619" s="108"/>
      <c r="E619" s="109"/>
      <c r="F619" s="107"/>
      <c r="G619" s="110"/>
      <c r="H619" s="109"/>
      <c r="I619" s="9"/>
      <c r="J619" s="9"/>
      <c r="K619" s="9"/>
      <c r="L619" s="9"/>
      <c r="M619" s="9"/>
      <c r="N619" s="9"/>
      <c r="O619" s="9"/>
      <c r="P619" s="9"/>
      <c r="Q619" s="9"/>
      <c r="R619" s="9"/>
      <c r="S619" s="9"/>
      <c r="T619" s="9"/>
      <c r="U619" s="9"/>
      <c r="V619" s="9"/>
      <c r="W619" s="9"/>
      <c r="X619" s="9"/>
      <c r="Y619" s="9"/>
      <c r="Z619" s="9"/>
      <c r="AA619" s="9"/>
      <c r="AB619" s="9"/>
      <c r="AC619" s="9"/>
    </row>
    <row r="620" ht="15.75" customHeight="1">
      <c r="B620" s="106"/>
      <c r="C620" s="107"/>
      <c r="D620" s="108"/>
      <c r="E620" s="109"/>
      <c r="F620" s="107"/>
      <c r="G620" s="110"/>
      <c r="H620" s="109"/>
      <c r="I620" s="9"/>
      <c r="J620" s="9"/>
      <c r="K620" s="9"/>
      <c r="L620" s="9"/>
      <c r="M620" s="9"/>
      <c r="N620" s="9"/>
      <c r="O620" s="9"/>
      <c r="P620" s="9"/>
      <c r="Q620" s="9"/>
      <c r="R620" s="9"/>
      <c r="S620" s="9"/>
      <c r="T620" s="9"/>
      <c r="U620" s="9"/>
      <c r="V620" s="9"/>
      <c r="W620" s="9"/>
      <c r="X620" s="9"/>
      <c r="Y620" s="9"/>
      <c r="Z620" s="9"/>
      <c r="AA620" s="9"/>
      <c r="AB620" s="9"/>
      <c r="AC620" s="9"/>
    </row>
    <row r="621" ht="15.75" customHeight="1">
      <c r="B621" s="106"/>
      <c r="C621" s="107"/>
      <c r="D621" s="108"/>
      <c r="E621" s="109"/>
      <c r="F621" s="107"/>
      <c r="G621" s="110"/>
      <c r="H621" s="109"/>
      <c r="I621" s="9"/>
      <c r="J621" s="9"/>
      <c r="K621" s="9"/>
      <c r="L621" s="9"/>
      <c r="M621" s="9"/>
      <c r="N621" s="9"/>
      <c r="O621" s="9"/>
      <c r="P621" s="9"/>
      <c r="Q621" s="9"/>
      <c r="R621" s="9"/>
      <c r="S621" s="9"/>
      <c r="T621" s="9"/>
      <c r="U621" s="9"/>
      <c r="V621" s="9"/>
      <c r="W621" s="9"/>
      <c r="X621" s="9"/>
      <c r="Y621" s="9"/>
      <c r="Z621" s="9"/>
      <c r="AA621" s="9"/>
      <c r="AB621" s="9"/>
      <c r="AC621" s="9"/>
    </row>
    <row r="622" ht="15.75" customHeight="1">
      <c r="B622" s="106"/>
      <c r="C622" s="107"/>
      <c r="D622" s="108"/>
      <c r="E622" s="109"/>
      <c r="F622" s="107"/>
      <c r="G622" s="110"/>
      <c r="H622" s="109"/>
      <c r="I622" s="9"/>
      <c r="J622" s="9"/>
      <c r="K622" s="9"/>
      <c r="L622" s="9"/>
      <c r="M622" s="9"/>
      <c r="N622" s="9"/>
      <c r="O622" s="9"/>
      <c r="P622" s="9"/>
      <c r="Q622" s="9"/>
      <c r="R622" s="9"/>
      <c r="S622" s="9"/>
      <c r="T622" s="9"/>
      <c r="U622" s="9"/>
      <c r="V622" s="9"/>
      <c r="W622" s="9"/>
      <c r="X622" s="9"/>
      <c r="Y622" s="9"/>
      <c r="Z622" s="9"/>
      <c r="AA622" s="9"/>
      <c r="AB622" s="9"/>
      <c r="AC622" s="9"/>
    </row>
    <row r="623" ht="15.75" customHeight="1">
      <c r="B623" s="106"/>
      <c r="C623" s="107"/>
      <c r="D623" s="108"/>
      <c r="E623" s="109"/>
      <c r="F623" s="107"/>
      <c r="G623" s="110"/>
      <c r="H623" s="109"/>
      <c r="I623" s="9"/>
      <c r="J623" s="9"/>
      <c r="K623" s="9"/>
      <c r="L623" s="9"/>
      <c r="M623" s="9"/>
      <c r="N623" s="9"/>
      <c r="O623" s="9"/>
      <c r="P623" s="9"/>
      <c r="Q623" s="9"/>
      <c r="R623" s="9"/>
      <c r="S623" s="9"/>
      <c r="T623" s="9"/>
      <c r="U623" s="9"/>
      <c r="V623" s="9"/>
      <c r="W623" s="9"/>
      <c r="X623" s="9"/>
      <c r="Y623" s="9"/>
      <c r="Z623" s="9"/>
      <c r="AA623" s="9"/>
      <c r="AB623" s="9"/>
      <c r="AC623" s="9"/>
    </row>
    <row r="624" ht="15.75" customHeight="1">
      <c r="B624" s="106"/>
      <c r="C624" s="107"/>
      <c r="D624" s="108"/>
      <c r="E624" s="109"/>
      <c r="F624" s="107"/>
      <c r="G624" s="110"/>
      <c r="H624" s="109"/>
      <c r="I624" s="9"/>
      <c r="J624" s="9"/>
      <c r="K624" s="9"/>
      <c r="L624" s="9"/>
      <c r="M624" s="9"/>
      <c r="N624" s="9"/>
      <c r="O624" s="9"/>
      <c r="P624" s="9"/>
      <c r="Q624" s="9"/>
      <c r="R624" s="9"/>
      <c r="S624" s="9"/>
      <c r="T624" s="9"/>
      <c r="U624" s="9"/>
      <c r="V624" s="9"/>
      <c r="W624" s="9"/>
      <c r="X624" s="9"/>
      <c r="Y624" s="9"/>
      <c r="Z624" s="9"/>
      <c r="AA624" s="9"/>
      <c r="AB624" s="9"/>
      <c r="AC624" s="9"/>
    </row>
    <row r="625" ht="15.75" customHeight="1">
      <c r="B625" s="106"/>
      <c r="C625" s="107"/>
      <c r="D625" s="108"/>
      <c r="E625" s="109"/>
      <c r="F625" s="107"/>
      <c r="G625" s="110"/>
      <c r="H625" s="109"/>
      <c r="I625" s="9"/>
      <c r="J625" s="9"/>
      <c r="K625" s="9"/>
      <c r="L625" s="9"/>
      <c r="M625" s="9"/>
      <c r="N625" s="9"/>
      <c r="O625" s="9"/>
      <c r="P625" s="9"/>
      <c r="Q625" s="9"/>
      <c r="R625" s="9"/>
      <c r="S625" s="9"/>
      <c r="T625" s="9"/>
      <c r="U625" s="9"/>
      <c r="V625" s="9"/>
      <c r="W625" s="9"/>
      <c r="X625" s="9"/>
      <c r="Y625" s="9"/>
      <c r="Z625" s="9"/>
      <c r="AA625" s="9"/>
      <c r="AB625" s="9"/>
      <c r="AC625" s="9"/>
    </row>
    <row r="626" ht="15.75" customHeight="1">
      <c r="B626" s="106"/>
      <c r="C626" s="107"/>
      <c r="D626" s="108"/>
      <c r="E626" s="109"/>
      <c r="F626" s="107"/>
      <c r="G626" s="110"/>
      <c r="H626" s="109"/>
      <c r="I626" s="9"/>
      <c r="J626" s="9"/>
      <c r="K626" s="9"/>
      <c r="L626" s="9"/>
      <c r="M626" s="9"/>
      <c r="N626" s="9"/>
      <c r="O626" s="9"/>
      <c r="P626" s="9"/>
      <c r="Q626" s="9"/>
      <c r="R626" s="9"/>
      <c r="S626" s="9"/>
      <c r="T626" s="9"/>
      <c r="U626" s="9"/>
      <c r="V626" s="9"/>
      <c r="W626" s="9"/>
      <c r="X626" s="9"/>
      <c r="Y626" s="9"/>
      <c r="Z626" s="9"/>
      <c r="AA626" s="9"/>
      <c r="AB626" s="9"/>
      <c r="AC626" s="9"/>
    </row>
    <row r="627" ht="15.75" customHeight="1">
      <c r="B627" s="106"/>
      <c r="C627" s="107"/>
      <c r="D627" s="108"/>
      <c r="E627" s="109"/>
      <c r="F627" s="107"/>
      <c r="G627" s="110"/>
      <c r="H627" s="109"/>
      <c r="I627" s="9"/>
      <c r="J627" s="9"/>
      <c r="K627" s="9"/>
      <c r="L627" s="9"/>
      <c r="M627" s="9"/>
      <c r="N627" s="9"/>
      <c r="O627" s="9"/>
      <c r="P627" s="9"/>
      <c r="Q627" s="9"/>
      <c r="R627" s="9"/>
      <c r="S627" s="9"/>
      <c r="T627" s="9"/>
      <c r="U627" s="9"/>
      <c r="V627" s="9"/>
      <c r="W627" s="9"/>
      <c r="X627" s="9"/>
      <c r="Y627" s="9"/>
      <c r="Z627" s="9"/>
      <c r="AA627" s="9"/>
      <c r="AB627" s="9"/>
      <c r="AC627" s="9"/>
    </row>
    <row r="628" ht="15.75" customHeight="1">
      <c r="B628" s="106"/>
      <c r="C628" s="107"/>
      <c r="D628" s="108"/>
      <c r="E628" s="109"/>
      <c r="F628" s="107"/>
      <c r="G628" s="110"/>
      <c r="H628" s="109"/>
      <c r="I628" s="9"/>
      <c r="J628" s="9"/>
      <c r="K628" s="9"/>
      <c r="L628" s="9"/>
      <c r="M628" s="9"/>
      <c r="N628" s="9"/>
      <c r="O628" s="9"/>
      <c r="P628" s="9"/>
      <c r="Q628" s="9"/>
      <c r="R628" s="9"/>
      <c r="S628" s="9"/>
      <c r="T628" s="9"/>
      <c r="U628" s="9"/>
      <c r="V628" s="9"/>
      <c r="W628" s="9"/>
      <c r="X628" s="9"/>
      <c r="Y628" s="9"/>
      <c r="Z628" s="9"/>
      <c r="AA628" s="9"/>
      <c r="AB628" s="9"/>
      <c r="AC628" s="9"/>
    </row>
    <row r="629" ht="15.75" customHeight="1">
      <c r="B629" s="106"/>
      <c r="C629" s="107"/>
      <c r="D629" s="108"/>
      <c r="E629" s="109"/>
      <c r="F629" s="107"/>
      <c r="G629" s="110"/>
      <c r="H629" s="109"/>
      <c r="I629" s="9"/>
      <c r="J629" s="9"/>
      <c r="K629" s="9"/>
      <c r="L629" s="9"/>
      <c r="M629" s="9"/>
      <c r="N629" s="9"/>
      <c r="O629" s="9"/>
      <c r="P629" s="9"/>
      <c r="Q629" s="9"/>
      <c r="R629" s="9"/>
      <c r="S629" s="9"/>
      <c r="T629" s="9"/>
      <c r="U629" s="9"/>
      <c r="V629" s="9"/>
      <c r="W629" s="9"/>
      <c r="X629" s="9"/>
      <c r="Y629" s="9"/>
      <c r="Z629" s="9"/>
      <c r="AA629" s="9"/>
      <c r="AB629" s="9"/>
      <c r="AC629" s="9"/>
    </row>
    <row r="630" ht="15.75" customHeight="1">
      <c r="B630" s="106"/>
      <c r="C630" s="107"/>
      <c r="D630" s="108"/>
      <c r="E630" s="109"/>
      <c r="F630" s="107"/>
      <c r="G630" s="110"/>
      <c r="H630" s="109"/>
      <c r="I630" s="9"/>
      <c r="J630" s="9"/>
      <c r="K630" s="9"/>
      <c r="L630" s="9"/>
      <c r="M630" s="9"/>
      <c r="N630" s="9"/>
      <c r="O630" s="9"/>
      <c r="P630" s="9"/>
      <c r="Q630" s="9"/>
      <c r="R630" s="9"/>
      <c r="S630" s="9"/>
      <c r="T630" s="9"/>
      <c r="U630" s="9"/>
      <c r="V630" s="9"/>
      <c r="W630" s="9"/>
      <c r="X630" s="9"/>
      <c r="Y630" s="9"/>
      <c r="Z630" s="9"/>
      <c r="AA630" s="9"/>
      <c r="AB630" s="9"/>
      <c r="AC630" s="9"/>
    </row>
    <row r="631" ht="15.75" customHeight="1">
      <c r="B631" s="106"/>
      <c r="C631" s="107"/>
      <c r="D631" s="108"/>
      <c r="E631" s="109"/>
      <c r="F631" s="107"/>
      <c r="G631" s="110"/>
      <c r="H631" s="109"/>
      <c r="I631" s="9"/>
      <c r="J631" s="9"/>
      <c r="K631" s="9"/>
      <c r="L631" s="9"/>
      <c r="M631" s="9"/>
      <c r="N631" s="9"/>
      <c r="O631" s="9"/>
      <c r="P631" s="9"/>
      <c r="Q631" s="9"/>
      <c r="R631" s="9"/>
      <c r="S631" s="9"/>
      <c r="T631" s="9"/>
      <c r="U631" s="9"/>
      <c r="V631" s="9"/>
      <c r="W631" s="9"/>
      <c r="X631" s="9"/>
      <c r="Y631" s="9"/>
      <c r="Z631" s="9"/>
      <c r="AA631" s="9"/>
      <c r="AB631" s="9"/>
      <c r="AC631" s="9"/>
    </row>
    <row r="632" ht="15.75" customHeight="1">
      <c r="B632" s="106"/>
      <c r="C632" s="107"/>
      <c r="D632" s="108"/>
      <c r="E632" s="109"/>
      <c r="F632" s="107"/>
      <c r="G632" s="110"/>
      <c r="H632" s="109"/>
      <c r="I632" s="9"/>
      <c r="J632" s="9"/>
      <c r="K632" s="9"/>
      <c r="L632" s="9"/>
      <c r="M632" s="9"/>
      <c r="N632" s="9"/>
      <c r="O632" s="9"/>
      <c r="P632" s="9"/>
      <c r="Q632" s="9"/>
      <c r="R632" s="9"/>
      <c r="S632" s="9"/>
      <c r="T632" s="9"/>
      <c r="U632" s="9"/>
      <c r="V632" s="9"/>
      <c r="W632" s="9"/>
      <c r="X632" s="9"/>
      <c r="Y632" s="9"/>
      <c r="Z632" s="9"/>
      <c r="AA632" s="9"/>
      <c r="AB632" s="9"/>
      <c r="AC632" s="9"/>
    </row>
    <row r="633" ht="15.75" customHeight="1">
      <c r="B633" s="106"/>
      <c r="C633" s="107"/>
      <c r="D633" s="108"/>
      <c r="E633" s="109"/>
      <c r="F633" s="107"/>
      <c r="G633" s="110"/>
      <c r="H633" s="109"/>
      <c r="I633" s="9"/>
      <c r="J633" s="9"/>
      <c r="K633" s="9"/>
      <c r="L633" s="9"/>
      <c r="M633" s="9"/>
      <c r="N633" s="9"/>
      <c r="O633" s="9"/>
      <c r="P633" s="9"/>
      <c r="Q633" s="9"/>
      <c r="R633" s="9"/>
      <c r="S633" s="9"/>
      <c r="T633" s="9"/>
      <c r="U633" s="9"/>
      <c r="V633" s="9"/>
      <c r="W633" s="9"/>
      <c r="X633" s="9"/>
      <c r="Y633" s="9"/>
      <c r="Z633" s="9"/>
      <c r="AA633" s="9"/>
      <c r="AB633" s="9"/>
      <c r="AC633" s="9"/>
    </row>
    <row r="634" ht="15.75" customHeight="1">
      <c r="B634" s="106"/>
      <c r="C634" s="107"/>
      <c r="D634" s="108"/>
      <c r="E634" s="109"/>
      <c r="F634" s="107"/>
      <c r="G634" s="110"/>
      <c r="H634" s="109"/>
      <c r="I634" s="9"/>
      <c r="J634" s="9"/>
      <c r="K634" s="9"/>
      <c r="L634" s="9"/>
      <c r="M634" s="9"/>
      <c r="N634" s="9"/>
      <c r="O634" s="9"/>
      <c r="P634" s="9"/>
      <c r="Q634" s="9"/>
      <c r="R634" s="9"/>
      <c r="S634" s="9"/>
      <c r="T634" s="9"/>
      <c r="U634" s="9"/>
      <c r="V634" s="9"/>
      <c r="W634" s="9"/>
      <c r="X634" s="9"/>
      <c r="Y634" s="9"/>
      <c r="Z634" s="9"/>
      <c r="AA634" s="9"/>
      <c r="AB634" s="9"/>
      <c r="AC634" s="9"/>
    </row>
    <row r="635" ht="15.75" customHeight="1">
      <c r="B635" s="106"/>
      <c r="C635" s="107"/>
      <c r="D635" s="108"/>
      <c r="E635" s="109"/>
      <c r="F635" s="107"/>
      <c r="G635" s="110"/>
      <c r="H635" s="109"/>
      <c r="I635" s="9"/>
      <c r="J635" s="9"/>
      <c r="K635" s="9"/>
      <c r="L635" s="9"/>
      <c r="M635" s="9"/>
      <c r="N635" s="9"/>
      <c r="O635" s="9"/>
      <c r="P635" s="9"/>
      <c r="Q635" s="9"/>
      <c r="R635" s="9"/>
      <c r="S635" s="9"/>
      <c r="T635" s="9"/>
      <c r="U635" s="9"/>
      <c r="V635" s="9"/>
      <c r="W635" s="9"/>
      <c r="X635" s="9"/>
      <c r="Y635" s="9"/>
      <c r="Z635" s="9"/>
      <c r="AA635" s="9"/>
      <c r="AB635" s="9"/>
      <c r="AC635" s="9"/>
    </row>
    <row r="636" ht="15.75" customHeight="1">
      <c r="B636" s="106"/>
      <c r="C636" s="107"/>
      <c r="D636" s="108"/>
      <c r="E636" s="109"/>
      <c r="F636" s="107"/>
      <c r="G636" s="110"/>
      <c r="H636" s="109"/>
      <c r="I636" s="9"/>
      <c r="J636" s="9"/>
      <c r="K636" s="9"/>
      <c r="L636" s="9"/>
      <c r="M636" s="9"/>
      <c r="N636" s="9"/>
      <c r="O636" s="9"/>
      <c r="P636" s="9"/>
      <c r="Q636" s="9"/>
      <c r="R636" s="9"/>
      <c r="S636" s="9"/>
      <c r="T636" s="9"/>
      <c r="U636" s="9"/>
      <c r="V636" s="9"/>
      <c r="W636" s="9"/>
      <c r="X636" s="9"/>
      <c r="Y636" s="9"/>
      <c r="Z636" s="9"/>
      <c r="AA636" s="9"/>
      <c r="AB636" s="9"/>
      <c r="AC636" s="9"/>
    </row>
    <row r="637" ht="15.75" customHeight="1">
      <c r="B637" s="106"/>
      <c r="C637" s="107"/>
      <c r="D637" s="108"/>
      <c r="E637" s="109"/>
      <c r="F637" s="107"/>
      <c r="G637" s="110"/>
      <c r="H637" s="109"/>
      <c r="I637" s="9"/>
      <c r="J637" s="9"/>
      <c r="K637" s="9"/>
      <c r="L637" s="9"/>
      <c r="M637" s="9"/>
      <c r="N637" s="9"/>
      <c r="O637" s="9"/>
      <c r="P637" s="9"/>
      <c r="Q637" s="9"/>
      <c r="R637" s="9"/>
      <c r="S637" s="9"/>
      <c r="T637" s="9"/>
      <c r="U637" s="9"/>
      <c r="V637" s="9"/>
      <c r="W637" s="9"/>
      <c r="X637" s="9"/>
      <c r="Y637" s="9"/>
      <c r="Z637" s="9"/>
      <c r="AA637" s="9"/>
      <c r="AB637" s="9"/>
      <c r="AC637" s="9"/>
    </row>
    <row r="638" ht="15.75" customHeight="1">
      <c r="B638" s="106"/>
      <c r="C638" s="107"/>
      <c r="D638" s="108"/>
      <c r="E638" s="109"/>
      <c r="F638" s="107"/>
      <c r="G638" s="110"/>
      <c r="H638" s="109"/>
      <c r="I638" s="9"/>
      <c r="J638" s="9"/>
      <c r="K638" s="9"/>
      <c r="L638" s="9"/>
      <c r="M638" s="9"/>
      <c r="N638" s="9"/>
      <c r="O638" s="9"/>
      <c r="P638" s="9"/>
      <c r="Q638" s="9"/>
      <c r="R638" s="9"/>
      <c r="S638" s="9"/>
      <c r="T638" s="9"/>
      <c r="U638" s="9"/>
      <c r="V638" s="9"/>
      <c r="W638" s="9"/>
      <c r="X638" s="9"/>
      <c r="Y638" s="9"/>
      <c r="Z638" s="9"/>
      <c r="AA638" s="9"/>
      <c r="AB638" s="9"/>
      <c r="AC638" s="9"/>
    </row>
    <row r="639" ht="15.75" customHeight="1">
      <c r="B639" s="106"/>
      <c r="C639" s="107"/>
      <c r="D639" s="108"/>
      <c r="E639" s="109"/>
      <c r="F639" s="107"/>
      <c r="G639" s="110"/>
      <c r="H639" s="109"/>
      <c r="I639" s="9"/>
      <c r="J639" s="9"/>
      <c r="K639" s="9"/>
      <c r="L639" s="9"/>
      <c r="M639" s="9"/>
      <c r="N639" s="9"/>
      <c r="O639" s="9"/>
      <c r="P639" s="9"/>
      <c r="Q639" s="9"/>
      <c r="R639" s="9"/>
      <c r="S639" s="9"/>
      <c r="T639" s="9"/>
      <c r="U639" s="9"/>
      <c r="V639" s="9"/>
      <c r="W639" s="9"/>
      <c r="X639" s="9"/>
      <c r="Y639" s="9"/>
      <c r="Z639" s="9"/>
      <c r="AA639" s="9"/>
      <c r="AB639" s="9"/>
      <c r="AC639" s="9"/>
    </row>
    <row r="640" ht="15.75" customHeight="1">
      <c r="B640" s="106"/>
      <c r="C640" s="107"/>
      <c r="D640" s="108"/>
      <c r="E640" s="109"/>
      <c r="F640" s="107"/>
      <c r="G640" s="110"/>
      <c r="H640" s="109"/>
      <c r="I640" s="9"/>
      <c r="J640" s="9"/>
      <c r="K640" s="9"/>
      <c r="L640" s="9"/>
      <c r="M640" s="9"/>
      <c r="N640" s="9"/>
      <c r="O640" s="9"/>
      <c r="P640" s="9"/>
      <c r="Q640" s="9"/>
      <c r="R640" s="9"/>
      <c r="S640" s="9"/>
      <c r="T640" s="9"/>
      <c r="U640" s="9"/>
      <c r="V640" s="9"/>
      <c r="W640" s="9"/>
      <c r="X640" s="9"/>
      <c r="Y640" s="9"/>
      <c r="Z640" s="9"/>
      <c r="AA640" s="9"/>
      <c r="AB640" s="9"/>
      <c r="AC640" s="9"/>
    </row>
    <row r="641" ht="15.75" customHeight="1">
      <c r="B641" s="106"/>
      <c r="C641" s="107"/>
      <c r="D641" s="108"/>
      <c r="E641" s="109"/>
      <c r="F641" s="107"/>
      <c r="G641" s="110"/>
      <c r="H641" s="109"/>
      <c r="I641" s="9"/>
      <c r="J641" s="9"/>
      <c r="K641" s="9"/>
      <c r="L641" s="9"/>
      <c r="M641" s="9"/>
      <c r="N641" s="9"/>
      <c r="O641" s="9"/>
      <c r="P641" s="9"/>
      <c r="Q641" s="9"/>
      <c r="R641" s="9"/>
      <c r="S641" s="9"/>
      <c r="T641" s="9"/>
      <c r="U641" s="9"/>
      <c r="V641" s="9"/>
      <c r="W641" s="9"/>
      <c r="X641" s="9"/>
      <c r="Y641" s="9"/>
      <c r="Z641" s="9"/>
      <c r="AA641" s="9"/>
      <c r="AB641" s="9"/>
      <c r="AC641" s="9"/>
    </row>
    <row r="642" ht="15.75" customHeight="1">
      <c r="B642" s="106"/>
      <c r="C642" s="107"/>
      <c r="D642" s="108"/>
      <c r="E642" s="109"/>
      <c r="F642" s="107"/>
      <c r="G642" s="110"/>
      <c r="H642" s="109"/>
      <c r="I642" s="9"/>
      <c r="J642" s="9"/>
      <c r="K642" s="9"/>
      <c r="L642" s="9"/>
      <c r="M642" s="9"/>
      <c r="N642" s="9"/>
      <c r="O642" s="9"/>
      <c r="P642" s="9"/>
      <c r="Q642" s="9"/>
      <c r="R642" s="9"/>
      <c r="S642" s="9"/>
      <c r="T642" s="9"/>
      <c r="U642" s="9"/>
      <c r="V642" s="9"/>
      <c r="W642" s="9"/>
      <c r="X642" s="9"/>
      <c r="Y642" s="9"/>
      <c r="Z642" s="9"/>
      <c r="AA642" s="9"/>
      <c r="AB642" s="9"/>
      <c r="AC642" s="9"/>
    </row>
    <row r="643" ht="15.75" customHeight="1">
      <c r="B643" s="106"/>
      <c r="C643" s="107"/>
      <c r="D643" s="108"/>
      <c r="E643" s="109"/>
      <c r="F643" s="107"/>
      <c r="G643" s="110"/>
      <c r="H643" s="109"/>
      <c r="I643" s="9"/>
      <c r="J643" s="9"/>
      <c r="K643" s="9"/>
      <c r="L643" s="9"/>
      <c r="M643" s="9"/>
      <c r="N643" s="9"/>
      <c r="O643" s="9"/>
      <c r="P643" s="9"/>
      <c r="Q643" s="9"/>
      <c r="R643" s="9"/>
      <c r="S643" s="9"/>
      <c r="T643" s="9"/>
      <c r="U643" s="9"/>
      <c r="V643" s="9"/>
      <c r="W643" s="9"/>
      <c r="X643" s="9"/>
      <c r="Y643" s="9"/>
      <c r="Z643" s="9"/>
      <c r="AA643" s="9"/>
      <c r="AB643" s="9"/>
      <c r="AC643" s="9"/>
    </row>
    <row r="644" ht="15.75" customHeight="1">
      <c r="B644" s="106"/>
      <c r="C644" s="107"/>
      <c r="D644" s="108"/>
      <c r="E644" s="109"/>
      <c r="F644" s="107"/>
      <c r="G644" s="110"/>
      <c r="H644" s="109"/>
      <c r="I644" s="9"/>
      <c r="J644" s="9"/>
      <c r="K644" s="9"/>
      <c r="L644" s="9"/>
      <c r="M644" s="9"/>
      <c r="N644" s="9"/>
      <c r="O644" s="9"/>
      <c r="P644" s="9"/>
      <c r="Q644" s="9"/>
      <c r="R644" s="9"/>
      <c r="S644" s="9"/>
      <c r="T644" s="9"/>
      <c r="U644" s="9"/>
      <c r="V644" s="9"/>
      <c r="W644" s="9"/>
      <c r="X644" s="9"/>
      <c r="Y644" s="9"/>
      <c r="Z644" s="9"/>
      <c r="AA644" s="9"/>
      <c r="AB644" s="9"/>
      <c r="AC644" s="9"/>
    </row>
    <row r="645" ht="15.75" customHeight="1">
      <c r="B645" s="106"/>
      <c r="C645" s="107"/>
      <c r="D645" s="108"/>
      <c r="E645" s="109"/>
      <c r="F645" s="107"/>
      <c r="G645" s="110"/>
      <c r="H645" s="109"/>
      <c r="I645" s="9"/>
      <c r="J645" s="9"/>
      <c r="K645" s="9"/>
      <c r="L645" s="9"/>
      <c r="M645" s="9"/>
      <c r="N645" s="9"/>
      <c r="O645" s="9"/>
      <c r="P645" s="9"/>
      <c r="Q645" s="9"/>
      <c r="R645" s="9"/>
      <c r="S645" s="9"/>
      <c r="T645" s="9"/>
      <c r="U645" s="9"/>
      <c r="V645" s="9"/>
      <c r="W645" s="9"/>
      <c r="X645" s="9"/>
      <c r="Y645" s="9"/>
      <c r="Z645" s="9"/>
      <c r="AA645" s="9"/>
      <c r="AB645" s="9"/>
      <c r="AC645" s="9"/>
    </row>
    <row r="646" ht="15.75" customHeight="1">
      <c r="B646" s="106"/>
      <c r="C646" s="107"/>
      <c r="D646" s="108"/>
      <c r="E646" s="109"/>
      <c r="F646" s="107"/>
      <c r="G646" s="110"/>
      <c r="H646" s="109"/>
      <c r="I646" s="9"/>
      <c r="J646" s="9"/>
      <c r="K646" s="9"/>
      <c r="L646" s="9"/>
      <c r="M646" s="9"/>
      <c r="N646" s="9"/>
      <c r="O646" s="9"/>
      <c r="P646" s="9"/>
      <c r="Q646" s="9"/>
      <c r="R646" s="9"/>
      <c r="S646" s="9"/>
      <c r="T646" s="9"/>
      <c r="U646" s="9"/>
      <c r="V646" s="9"/>
      <c r="W646" s="9"/>
      <c r="X646" s="9"/>
      <c r="Y646" s="9"/>
      <c r="Z646" s="9"/>
      <c r="AA646" s="9"/>
      <c r="AB646" s="9"/>
      <c r="AC646" s="9"/>
    </row>
    <row r="647" ht="15.75" customHeight="1">
      <c r="B647" s="106"/>
      <c r="C647" s="107"/>
      <c r="D647" s="108"/>
      <c r="E647" s="109"/>
      <c r="F647" s="107"/>
      <c r="G647" s="110"/>
      <c r="H647" s="109"/>
      <c r="I647" s="9"/>
      <c r="J647" s="9"/>
      <c r="K647" s="9"/>
      <c r="L647" s="9"/>
      <c r="M647" s="9"/>
      <c r="N647" s="9"/>
      <c r="O647" s="9"/>
      <c r="P647" s="9"/>
      <c r="Q647" s="9"/>
      <c r="R647" s="9"/>
      <c r="S647" s="9"/>
      <c r="T647" s="9"/>
      <c r="U647" s="9"/>
      <c r="V647" s="9"/>
      <c r="W647" s="9"/>
      <c r="X647" s="9"/>
      <c r="Y647" s="9"/>
      <c r="Z647" s="9"/>
      <c r="AA647" s="9"/>
      <c r="AB647" s="9"/>
      <c r="AC647" s="9"/>
    </row>
    <row r="648" ht="15.75" customHeight="1">
      <c r="B648" s="106"/>
      <c r="C648" s="107"/>
      <c r="D648" s="108"/>
      <c r="E648" s="109"/>
      <c r="F648" s="107"/>
      <c r="G648" s="110"/>
      <c r="H648" s="109"/>
      <c r="I648" s="9"/>
      <c r="J648" s="9"/>
      <c r="K648" s="9"/>
      <c r="L648" s="9"/>
      <c r="M648" s="9"/>
      <c r="N648" s="9"/>
      <c r="O648" s="9"/>
      <c r="P648" s="9"/>
      <c r="Q648" s="9"/>
      <c r="R648" s="9"/>
      <c r="S648" s="9"/>
      <c r="T648" s="9"/>
      <c r="U648" s="9"/>
      <c r="V648" s="9"/>
      <c r="W648" s="9"/>
      <c r="X648" s="9"/>
      <c r="Y648" s="9"/>
      <c r="Z648" s="9"/>
      <c r="AA648" s="9"/>
      <c r="AB648" s="9"/>
      <c r="AC648" s="9"/>
    </row>
    <row r="649" ht="15.75" customHeight="1">
      <c r="B649" s="106"/>
      <c r="C649" s="107"/>
      <c r="D649" s="108"/>
      <c r="E649" s="109"/>
      <c r="F649" s="107"/>
      <c r="G649" s="110"/>
      <c r="H649" s="109"/>
      <c r="I649" s="9"/>
      <c r="J649" s="9"/>
      <c r="K649" s="9"/>
      <c r="L649" s="9"/>
      <c r="M649" s="9"/>
      <c r="N649" s="9"/>
      <c r="O649" s="9"/>
      <c r="P649" s="9"/>
      <c r="Q649" s="9"/>
      <c r="R649" s="9"/>
      <c r="S649" s="9"/>
      <c r="T649" s="9"/>
      <c r="U649" s="9"/>
      <c r="V649" s="9"/>
      <c r="W649" s="9"/>
      <c r="X649" s="9"/>
      <c r="Y649" s="9"/>
      <c r="Z649" s="9"/>
      <c r="AA649" s="9"/>
      <c r="AB649" s="9"/>
      <c r="AC649" s="9"/>
    </row>
    <row r="650" ht="15.75" customHeight="1">
      <c r="B650" s="106"/>
      <c r="C650" s="107"/>
      <c r="D650" s="108"/>
      <c r="E650" s="109"/>
      <c r="F650" s="107"/>
      <c r="G650" s="110"/>
      <c r="H650" s="109"/>
      <c r="I650" s="9"/>
      <c r="J650" s="9"/>
      <c r="K650" s="9"/>
      <c r="L650" s="9"/>
      <c r="M650" s="9"/>
      <c r="N650" s="9"/>
      <c r="O650" s="9"/>
      <c r="P650" s="9"/>
      <c r="Q650" s="9"/>
      <c r="R650" s="9"/>
      <c r="S650" s="9"/>
      <c r="T650" s="9"/>
      <c r="U650" s="9"/>
      <c r="V650" s="9"/>
      <c r="W650" s="9"/>
      <c r="X650" s="9"/>
      <c r="Y650" s="9"/>
      <c r="Z650" s="9"/>
      <c r="AA650" s="9"/>
      <c r="AB650" s="9"/>
      <c r="AC650" s="9"/>
    </row>
    <row r="651" ht="15.75" customHeight="1">
      <c r="B651" s="106"/>
      <c r="C651" s="107"/>
      <c r="D651" s="108"/>
      <c r="E651" s="109"/>
      <c r="F651" s="107"/>
      <c r="G651" s="110"/>
      <c r="H651" s="109"/>
      <c r="I651" s="9"/>
      <c r="J651" s="9"/>
      <c r="K651" s="9"/>
      <c r="L651" s="9"/>
      <c r="M651" s="9"/>
      <c r="N651" s="9"/>
      <c r="O651" s="9"/>
      <c r="P651" s="9"/>
      <c r="Q651" s="9"/>
      <c r="R651" s="9"/>
      <c r="S651" s="9"/>
      <c r="T651" s="9"/>
      <c r="U651" s="9"/>
      <c r="V651" s="9"/>
      <c r="W651" s="9"/>
      <c r="X651" s="9"/>
      <c r="Y651" s="9"/>
      <c r="Z651" s="9"/>
      <c r="AA651" s="9"/>
      <c r="AB651" s="9"/>
      <c r="AC651" s="9"/>
    </row>
    <row r="652" ht="15.75" customHeight="1">
      <c r="B652" s="106"/>
      <c r="C652" s="107"/>
      <c r="D652" s="108"/>
      <c r="E652" s="109"/>
      <c r="F652" s="107"/>
      <c r="G652" s="110"/>
      <c r="H652" s="109"/>
      <c r="I652" s="9"/>
      <c r="J652" s="9"/>
      <c r="K652" s="9"/>
      <c r="L652" s="9"/>
      <c r="M652" s="9"/>
      <c r="N652" s="9"/>
      <c r="O652" s="9"/>
      <c r="P652" s="9"/>
      <c r="Q652" s="9"/>
      <c r="R652" s="9"/>
      <c r="S652" s="9"/>
      <c r="T652" s="9"/>
      <c r="U652" s="9"/>
      <c r="V652" s="9"/>
      <c r="W652" s="9"/>
      <c r="X652" s="9"/>
      <c r="Y652" s="9"/>
      <c r="Z652" s="9"/>
      <c r="AA652" s="9"/>
      <c r="AB652" s="9"/>
      <c r="AC652" s="9"/>
    </row>
    <row r="653" ht="15.75" customHeight="1">
      <c r="B653" s="106"/>
      <c r="C653" s="107"/>
      <c r="D653" s="108"/>
      <c r="E653" s="109"/>
      <c r="F653" s="107"/>
      <c r="G653" s="110"/>
      <c r="H653" s="109"/>
      <c r="I653" s="9"/>
      <c r="J653" s="9"/>
      <c r="K653" s="9"/>
      <c r="L653" s="9"/>
      <c r="M653" s="9"/>
      <c r="N653" s="9"/>
      <c r="O653" s="9"/>
      <c r="P653" s="9"/>
      <c r="Q653" s="9"/>
      <c r="R653" s="9"/>
      <c r="S653" s="9"/>
      <c r="T653" s="9"/>
      <c r="U653" s="9"/>
      <c r="V653" s="9"/>
      <c r="W653" s="9"/>
      <c r="X653" s="9"/>
      <c r="Y653" s="9"/>
      <c r="Z653" s="9"/>
      <c r="AA653" s="9"/>
      <c r="AB653" s="9"/>
      <c r="AC653" s="9"/>
    </row>
    <row r="654" ht="15.75" customHeight="1">
      <c r="B654" s="106"/>
      <c r="C654" s="107"/>
      <c r="D654" s="108"/>
      <c r="E654" s="109"/>
      <c r="F654" s="107"/>
      <c r="G654" s="110"/>
      <c r="H654" s="109"/>
      <c r="I654" s="9"/>
      <c r="J654" s="9"/>
      <c r="K654" s="9"/>
      <c r="L654" s="9"/>
      <c r="M654" s="9"/>
      <c r="N654" s="9"/>
      <c r="O654" s="9"/>
      <c r="P654" s="9"/>
      <c r="Q654" s="9"/>
      <c r="R654" s="9"/>
      <c r="S654" s="9"/>
      <c r="T654" s="9"/>
      <c r="U654" s="9"/>
      <c r="V654" s="9"/>
      <c r="W654" s="9"/>
      <c r="X654" s="9"/>
      <c r="Y654" s="9"/>
      <c r="Z654" s="9"/>
      <c r="AA654" s="9"/>
      <c r="AB654" s="9"/>
      <c r="AC654" s="9"/>
    </row>
    <row r="655" ht="15.75" customHeight="1">
      <c r="B655" s="106"/>
      <c r="C655" s="107"/>
      <c r="D655" s="108"/>
      <c r="E655" s="109"/>
      <c r="F655" s="107"/>
      <c r="G655" s="110"/>
      <c r="H655" s="109"/>
      <c r="I655" s="9"/>
      <c r="J655" s="9"/>
      <c r="K655" s="9"/>
      <c r="L655" s="9"/>
      <c r="M655" s="9"/>
      <c r="N655" s="9"/>
      <c r="O655" s="9"/>
      <c r="P655" s="9"/>
      <c r="Q655" s="9"/>
      <c r="R655" s="9"/>
      <c r="S655" s="9"/>
      <c r="T655" s="9"/>
      <c r="U655" s="9"/>
      <c r="V655" s="9"/>
      <c r="W655" s="9"/>
      <c r="X655" s="9"/>
      <c r="Y655" s="9"/>
      <c r="Z655" s="9"/>
      <c r="AA655" s="9"/>
      <c r="AB655" s="9"/>
      <c r="AC655" s="9"/>
    </row>
    <row r="656" ht="15.75" customHeight="1">
      <c r="B656" s="106"/>
      <c r="C656" s="107"/>
      <c r="D656" s="108"/>
      <c r="E656" s="109"/>
      <c r="F656" s="107"/>
      <c r="G656" s="110"/>
      <c r="H656" s="109"/>
      <c r="I656" s="9"/>
      <c r="J656" s="9"/>
      <c r="K656" s="9"/>
      <c r="L656" s="9"/>
      <c r="M656" s="9"/>
      <c r="N656" s="9"/>
      <c r="O656" s="9"/>
      <c r="P656" s="9"/>
      <c r="Q656" s="9"/>
      <c r="R656" s="9"/>
      <c r="S656" s="9"/>
      <c r="T656" s="9"/>
      <c r="U656" s="9"/>
      <c r="V656" s="9"/>
      <c r="W656" s="9"/>
      <c r="X656" s="9"/>
      <c r="Y656" s="9"/>
      <c r="Z656" s="9"/>
      <c r="AA656" s="9"/>
      <c r="AB656" s="9"/>
      <c r="AC656" s="9"/>
    </row>
    <row r="657" ht="15.75" customHeight="1">
      <c r="B657" s="106"/>
      <c r="C657" s="107"/>
      <c r="D657" s="108"/>
      <c r="E657" s="109"/>
      <c r="F657" s="107"/>
      <c r="G657" s="110"/>
      <c r="H657" s="109"/>
      <c r="I657" s="9"/>
      <c r="J657" s="9"/>
      <c r="K657" s="9"/>
      <c r="L657" s="9"/>
      <c r="M657" s="9"/>
      <c r="N657" s="9"/>
      <c r="O657" s="9"/>
      <c r="P657" s="9"/>
      <c r="Q657" s="9"/>
      <c r="R657" s="9"/>
      <c r="S657" s="9"/>
      <c r="T657" s="9"/>
      <c r="U657" s="9"/>
      <c r="V657" s="9"/>
      <c r="W657" s="9"/>
      <c r="X657" s="9"/>
      <c r="Y657" s="9"/>
      <c r="Z657" s="9"/>
      <c r="AA657" s="9"/>
      <c r="AB657" s="9"/>
      <c r="AC657" s="9"/>
    </row>
    <row r="658" ht="15.75" customHeight="1">
      <c r="B658" s="106"/>
      <c r="C658" s="107"/>
      <c r="D658" s="108"/>
      <c r="E658" s="109"/>
      <c r="F658" s="107"/>
      <c r="G658" s="110"/>
      <c r="H658" s="109"/>
      <c r="I658" s="9"/>
      <c r="J658" s="9"/>
      <c r="K658" s="9"/>
      <c r="L658" s="9"/>
      <c r="M658" s="9"/>
      <c r="N658" s="9"/>
      <c r="O658" s="9"/>
      <c r="P658" s="9"/>
      <c r="Q658" s="9"/>
      <c r="R658" s="9"/>
      <c r="S658" s="9"/>
      <c r="T658" s="9"/>
      <c r="U658" s="9"/>
      <c r="V658" s="9"/>
      <c r="W658" s="9"/>
      <c r="X658" s="9"/>
      <c r="Y658" s="9"/>
      <c r="Z658" s="9"/>
      <c r="AA658" s="9"/>
      <c r="AB658" s="9"/>
      <c r="AC658" s="9"/>
    </row>
    <row r="659" ht="15.75" customHeight="1">
      <c r="B659" s="106"/>
      <c r="C659" s="107"/>
      <c r="D659" s="108"/>
      <c r="E659" s="109"/>
      <c r="F659" s="107"/>
      <c r="G659" s="110"/>
      <c r="H659" s="109"/>
      <c r="I659" s="9"/>
      <c r="J659" s="9"/>
      <c r="K659" s="9"/>
      <c r="L659" s="9"/>
      <c r="M659" s="9"/>
      <c r="N659" s="9"/>
      <c r="O659" s="9"/>
      <c r="P659" s="9"/>
      <c r="Q659" s="9"/>
      <c r="R659" s="9"/>
      <c r="S659" s="9"/>
      <c r="T659" s="9"/>
      <c r="U659" s="9"/>
      <c r="V659" s="9"/>
      <c r="W659" s="9"/>
      <c r="X659" s="9"/>
      <c r="Y659" s="9"/>
      <c r="Z659" s="9"/>
      <c r="AA659" s="9"/>
      <c r="AB659" s="9"/>
      <c r="AC659" s="9"/>
    </row>
    <row r="660" ht="15.75" customHeight="1">
      <c r="B660" s="106"/>
      <c r="C660" s="107"/>
      <c r="D660" s="108"/>
      <c r="E660" s="109"/>
      <c r="F660" s="107"/>
      <c r="G660" s="110"/>
      <c r="H660" s="109"/>
      <c r="I660" s="9"/>
      <c r="J660" s="9"/>
      <c r="K660" s="9"/>
      <c r="L660" s="9"/>
      <c r="M660" s="9"/>
      <c r="N660" s="9"/>
      <c r="O660" s="9"/>
      <c r="P660" s="9"/>
      <c r="Q660" s="9"/>
      <c r="R660" s="9"/>
      <c r="S660" s="9"/>
      <c r="T660" s="9"/>
      <c r="U660" s="9"/>
      <c r="V660" s="9"/>
      <c r="W660" s="9"/>
      <c r="X660" s="9"/>
      <c r="Y660" s="9"/>
      <c r="Z660" s="9"/>
      <c r="AA660" s="9"/>
      <c r="AB660" s="9"/>
      <c r="AC660" s="9"/>
    </row>
    <row r="661" ht="15.75" customHeight="1">
      <c r="B661" s="106"/>
      <c r="C661" s="107"/>
      <c r="D661" s="108"/>
      <c r="E661" s="109"/>
      <c r="F661" s="107"/>
      <c r="G661" s="110"/>
      <c r="H661" s="109"/>
      <c r="I661" s="9"/>
      <c r="J661" s="9"/>
      <c r="K661" s="9"/>
      <c r="L661" s="9"/>
      <c r="M661" s="9"/>
      <c r="N661" s="9"/>
      <c r="O661" s="9"/>
      <c r="P661" s="9"/>
      <c r="Q661" s="9"/>
      <c r="R661" s="9"/>
      <c r="S661" s="9"/>
      <c r="T661" s="9"/>
      <c r="U661" s="9"/>
      <c r="V661" s="9"/>
      <c r="W661" s="9"/>
      <c r="X661" s="9"/>
      <c r="Y661" s="9"/>
      <c r="Z661" s="9"/>
      <c r="AA661" s="9"/>
      <c r="AB661" s="9"/>
      <c r="AC661" s="9"/>
    </row>
    <row r="662" ht="15.75" customHeight="1">
      <c r="B662" s="106"/>
      <c r="C662" s="107"/>
      <c r="D662" s="108"/>
      <c r="E662" s="109"/>
      <c r="F662" s="107"/>
      <c r="G662" s="110"/>
      <c r="H662" s="109"/>
      <c r="I662" s="9"/>
      <c r="J662" s="9"/>
      <c r="K662" s="9"/>
      <c r="L662" s="9"/>
      <c r="M662" s="9"/>
      <c r="N662" s="9"/>
      <c r="O662" s="9"/>
      <c r="P662" s="9"/>
      <c r="Q662" s="9"/>
      <c r="R662" s="9"/>
      <c r="S662" s="9"/>
      <c r="T662" s="9"/>
      <c r="U662" s="9"/>
      <c r="V662" s="9"/>
      <c r="W662" s="9"/>
      <c r="X662" s="9"/>
      <c r="Y662" s="9"/>
      <c r="Z662" s="9"/>
      <c r="AA662" s="9"/>
      <c r="AB662" s="9"/>
      <c r="AC662" s="9"/>
    </row>
    <row r="663" ht="15.75" customHeight="1">
      <c r="B663" s="106"/>
      <c r="C663" s="107"/>
      <c r="D663" s="108"/>
      <c r="E663" s="109"/>
      <c r="F663" s="107"/>
      <c r="G663" s="110"/>
      <c r="H663" s="109"/>
      <c r="I663" s="9"/>
      <c r="J663" s="9"/>
      <c r="K663" s="9"/>
      <c r="L663" s="9"/>
      <c r="M663" s="9"/>
      <c r="N663" s="9"/>
      <c r="O663" s="9"/>
      <c r="P663" s="9"/>
      <c r="Q663" s="9"/>
      <c r="R663" s="9"/>
      <c r="S663" s="9"/>
      <c r="T663" s="9"/>
      <c r="U663" s="9"/>
      <c r="V663" s="9"/>
      <c r="W663" s="9"/>
      <c r="X663" s="9"/>
      <c r="Y663" s="9"/>
      <c r="Z663" s="9"/>
      <c r="AA663" s="9"/>
      <c r="AB663" s="9"/>
      <c r="AC663" s="9"/>
    </row>
    <row r="664" ht="15.75" customHeight="1">
      <c r="B664" s="106"/>
      <c r="C664" s="107"/>
      <c r="D664" s="108"/>
      <c r="E664" s="109"/>
      <c r="F664" s="107"/>
      <c r="G664" s="110"/>
      <c r="H664" s="109"/>
      <c r="I664" s="9"/>
      <c r="J664" s="9"/>
      <c r="K664" s="9"/>
      <c r="L664" s="9"/>
      <c r="M664" s="9"/>
      <c r="N664" s="9"/>
      <c r="O664" s="9"/>
      <c r="P664" s="9"/>
      <c r="Q664" s="9"/>
      <c r="R664" s="9"/>
      <c r="S664" s="9"/>
      <c r="T664" s="9"/>
      <c r="U664" s="9"/>
      <c r="V664" s="9"/>
      <c r="W664" s="9"/>
      <c r="X664" s="9"/>
      <c r="Y664" s="9"/>
      <c r="Z664" s="9"/>
      <c r="AA664" s="9"/>
      <c r="AB664" s="9"/>
      <c r="AC664" s="9"/>
    </row>
    <row r="665" ht="15.75" customHeight="1">
      <c r="B665" s="106"/>
      <c r="C665" s="107"/>
      <c r="D665" s="108"/>
      <c r="E665" s="109"/>
      <c r="F665" s="107"/>
      <c r="G665" s="110"/>
      <c r="H665" s="109"/>
      <c r="I665" s="9"/>
      <c r="J665" s="9"/>
      <c r="K665" s="9"/>
      <c r="L665" s="9"/>
      <c r="M665" s="9"/>
      <c r="N665" s="9"/>
      <c r="O665" s="9"/>
      <c r="P665" s="9"/>
      <c r="Q665" s="9"/>
      <c r="R665" s="9"/>
      <c r="S665" s="9"/>
      <c r="T665" s="9"/>
      <c r="U665" s="9"/>
      <c r="V665" s="9"/>
      <c r="W665" s="9"/>
      <c r="X665" s="9"/>
      <c r="Y665" s="9"/>
      <c r="Z665" s="9"/>
      <c r="AA665" s="9"/>
      <c r="AB665" s="9"/>
      <c r="AC665" s="9"/>
    </row>
    <row r="666" ht="15.75" customHeight="1">
      <c r="B666" s="106"/>
      <c r="C666" s="107"/>
      <c r="D666" s="108"/>
      <c r="E666" s="109"/>
      <c r="F666" s="107"/>
      <c r="G666" s="110"/>
      <c r="H666" s="109"/>
      <c r="I666" s="9"/>
      <c r="J666" s="9"/>
      <c r="K666" s="9"/>
      <c r="L666" s="9"/>
      <c r="M666" s="9"/>
      <c r="N666" s="9"/>
      <c r="O666" s="9"/>
      <c r="P666" s="9"/>
      <c r="Q666" s="9"/>
      <c r="R666" s="9"/>
      <c r="S666" s="9"/>
      <c r="T666" s="9"/>
      <c r="U666" s="9"/>
      <c r="V666" s="9"/>
      <c r="W666" s="9"/>
      <c r="X666" s="9"/>
      <c r="Y666" s="9"/>
      <c r="Z666" s="9"/>
      <c r="AA666" s="9"/>
      <c r="AB666" s="9"/>
      <c r="AC666" s="9"/>
    </row>
    <row r="667" ht="15.75" customHeight="1">
      <c r="B667" s="106"/>
      <c r="C667" s="107"/>
      <c r="D667" s="108"/>
      <c r="E667" s="109"/>
      <c r="F667" s="107"/>
      <c r="G667" s="110"/>
      <c r="H667" s="109"/>
      <c r="I667" s="9"/>
      <c r="J667" s="9"/>
      <c r="K667" s="9"/>
      <c r="L667" s="9"/>
      <c r="M667" s="9"/>
      <c r="N667" s="9"/>
      <c r="O667" s="9"/>
      <c r="P667" s="9"/>
      <c r="Q667" s="9"/>
      <c r="R667" s="9"/>
      <c r="S667" s="9"/>
      <c r="T667" s="9"/>
      <c r="U667" s="9"/>
      <c r="V667" s="9"/>
      <c r="W667" s="9"/>
      <c r="X667" s="9"/>
      <c r="Y667" s="9"/>
      <c r="Z667" s="9"/>
      <c r="AA667" s="9"/>
      <c r="AB667" s="9"/>
      <c r="AC667" s="9"/>
    </row>
    <row r="668" ht="15.75" customHeight="1">
      <c r="B668" s="106"/>
      <c r="C668" s="107"/>
      <c r="D668" s="108"/>
      <c r="E668" s="109"/>
      <c r="F668" s="107"/>
      <c r="G668" s="110"/>
      <c r="H668" s="109"/>
      <c r="I668" s="9"/>
      <c r="J668" s="9"/>
      <c r="K668" s="9"/>
      <c r="L668" s="9"/>
      <c r="M668" s="9"/>
      <c r="N668" s="9"/>
      <c r="O668" s="9"/>
      <c r="P668" s="9"/>
      <c r="Q668" s="9"/>
      <c r="R668" s="9"/>
      <c r="S668" s="9"/>
      <c r="T668" s="9"/>
      <c r="U668" s="9"/>
      <c r="V668" s="9"/>
      <c r="W668" s="9"/>
      <c r="X668" s="9"/>
      <c r="Y668" s="9"/>
      <c r="Z668" s="9"/>
      <c r="AA668" s="9"/>
      <c r="AB668" s="9"/>
      <c r="AC668" s="9"/>
    </row>
    <row r="669" ht="15.75" customHeight="1">
      <c r="B669" s="106"/>
      <c r="C669" s="107"/>
      <c r="D669" s="108"/>
      <c r="E669" s="109"/>
      <c r="F669" s="107"/>
      <c r="G669" s="110"/>
      <c r="H669" s="109"/>
      <c r="I669" s="9"/>
      <c r="J669" s="9"/>
      <c r="K669" s="9"/>
      <c r="L669" s="9"/>
      <c r="M669" s="9"/>
      <c r="N669" s="9"/>
      <c r="O669" s="9"/>
      <c r="P669" s="9"/>
      <c r="Q669" s="9"/>
      <c r="R669" s="9"/>
      <c r="S669" s="9"/>
      <c r="T669" s="9"/>
      <c r="U669" s="9"/>
      <c r="V669" s="9"/>
      <c r="W669" s="9"/>
      <c r="X669" s="9"/>
      <c r="Y669" s="9"/>
      <c r="Z669" s="9"/>
      <c r="AA669" s="9"/>
      <c r="AB669" s="9"/>
      <c r="AC669" s="9"/>
    </row>
    <row r="670" ht="15.75" customHeight="1">
      <c r="B670" s="106"/>
      <c r="C670" s="107"/>
      <c r="D670" s="108"/>
      <c r="E670" s="109"/>
      <c r="F670" s="107"/>
      <c r="G670" s="110"/>
      <c r="H670" s="109"/>
      <c r="I670" s="9"/>
      <c r="J670" s="9"/>
      <c r="K670" s="9"/>
      <c r="L670" s="9"/>
      <c r="M670" s="9"/>
      <c r="N670" s="9"/>
      <c r="O670" s="9"/>
      <c r="P670" s="9"/>
      <c r="Q670" s="9"/>
      <c r="R670" s="9"/>
      <c r="S670" s="9"/>
      <c r="T670" s="9"/>
      <c r="U670" s="9"/>
      <c r="V670" s="9"/>
      <c r="W670" s="9"/>
      <c r="X670" s="9"/>
      <c r="Y670" s="9"/>
      <c r="Z670" s="9"/>
      <c r="AA670" s="9"/>
      <c r="AB670" s="9"/>
      <c r="AC670" s="9"/>
    </row>
    <row r="671" ht="15.75" customHeight="1">
      <c r="B671" s="106"/>
      <c r="C671" s="107"/>
      <c r="D671" s="108"/>
      <c r="E671" s="109"/>
      <c r="F671" s="107"/>
      <c r="G671" s="110"/>
      <c r="H671" s="109"/>
      <c r="I671" s="9"/>
      <c r="J671" s="9"/>
      <c r="K671" s="9"/>
      <c r="L671" s="9"/>
      <c r="M671" s="9"/>
      <c r="N671" s="9"/>
      <c r="O671" s="9"/>
      <c r="P671" s="9"/>
      <c r="Q671" s="9"/>
      <c r="R671" s="9"/>
      <c r="S671" s="9"/>
      <c r="T671" s="9"/>
      <c r="U671" s="9"/>
      <c r="V671" s="9"/>
      <c r="W671" s="9"/>
      <c r="X671" s="9"/>
      <c r="Y671" s="9"/>
      <c r="Z671" s="9"/>
      <c r="AA671" s="9"/>
      <c r="AB671" s="9"/>
      <c r="AC671" s="9"/>
    </row>
    <row r="672" ht="15.75" customHeight="1">
      <c r="B672" s="106"/>
      <c r="C672" s="107"/>
      <c r="D672" s="108"/>
      <c r="E672" s="109"/>
      <c r="F672" s="107"/>
      <c r="G672" s="110"/>
      <c r="H672" s="109"/>
      <c r="I672" s="9"/>
      <c r="J672" s="9"/>
      <c r="K672" s="9"/>
      <c r="L672" s="9"/>
      <c r="M672" s="9"/>
      <c r="N672" s="9"/>
      <c r="O672" s="9"/>
      <c r="P672" s="9"/>
      <c r="Q672" s="9"/>
      <c r="R672" s="9"/>
      <c r="S672" s="9"/>
      <c r="T672" s="9"/>
      <c r="U672" s="9"/>
      <c r="V672" s="9"/>
      <c r="W672" s="9"/>
      <c r="X672" s="9"/>
      <c r="Y672" s="9"/>
      <c r="Z672" s="9"/>
      <c r="AA672" s="9"/>
      <c r="AB672" s="9"/>
      <c r="AC672" s="9"/>
    </row>
    <row r="673" ht="15.75" customHeight="1">
      <c r="B673" s="106"/>
      <c r="C673" s="107"/>
      <c r="D673" s="108"/>
      <c r="E673" s="109"/>
      <c r="F673" s="107"/>
      <c r="G673" s="110"/>
      <c r="H673" s="109"/>
      <c r="I673" s="9"/>
      <c r="J673" s="9"/>
      <c r="K673" s="9"/>
      <c r="L673" s="9"/>
      <c r="M673" s="9"/>
      <c r="N673" s="9"/>
      <c r="O673" s="9"/>
      <c r="P673" s="9"/>
      <c r="Q673" s="9"/>
      <c r="R673" s="9"/>
      <c r="S673" s="9"/>
      <c r="T673" s="9"/>
      <c r="U673" s="9"/>
      <c r="V673" s="9"/>
      <c r="W673" s="9"/>
      <c r="X673" s="9"/>
      <c r="Y673" s="9"/>
      <c r="Z673" s="9"/>
      <c r="AA673" s="9"/>
      <c r="AB673" s="9"/>
      <c r="AC673" s="9"/>
    </row>
    <row r="674" ht="15.75" customHeight="1">
      <c r="B674" s="106"/>
      <c r="C674" s="107"/>
      <c r="D674" s="108"/>
      <c r="E674" s="109"/>
      <c r="F674" s="107"/>
      <c r="G674" s="110"/>
      <c r="H674" s="109"/>
      <c r="I674" s="9"/>
      <c r="J674" s="9"/>
      <c r="K674" s="9"/>
      <c r="L674" s="9"/>
      <c r="M674" s="9"/>
      <c r="N674" s="9"/>
      <c r="O674" s="9"/>
      <c r="P674" s="9"/>
      <c r="Q674" s="9"/>
      <c r="R674" s="9"/>
      <c r="S674" s="9"/>
      <c r="T674" s="9"/>
      <c r="U674" s="9"/>
      <c r="V674" s="9"/>
      <c r="W674" s="9"/>
      <c r="X674" s="9"/>
      <c r="Y674" s="9"/>
      <c r="Z674" s="9"/>
      <c r="AA674" s="9"/>
      <c r="AB674" s="9"/>
      <c r="AC674" s="9"/>
    </row>
    <row r="675" ht="15.75" customHeight="1">
      <c r="B675" s="106"/>
      <c r="C675" s="107"/>
      <c r="D675" s="108"/>
      <c r="E675" s="109"/>
      <c r="F675" s="107"/>
      <c r="G675" s="110"/>
      <c r="H675" s="109"/>
      <c r="I675" s="9"/>
      <c r="J675" s="9"/>
      <c r="K675" s="9"/>
      <c r="L675" s="9"/>
      <c r="M675" s="9"/>
      <c r="N675" s="9"/>
      <c r="O675" s="9"/>
      <c r="P675" s="9"/>
      <c r="Q675" s="9"/>
      <c r="R675" s="9"/>
      <c r="S675" s="9"/>
      <c r="T675" s="9"/>
      <c r="U675" s="9"/>
      <c r="V675" s="9"/>
      <c r="W675" s="9"/>
      <c r="X675" s="9"/>
      <c r="Y675" s="9"/>
      <c r="Z675" s="9"/>
      <c r="AA675" s="9"/>
      <c r="AB675" s="9"/>
      <c r="AC675" s="9"/>
    </row>
    <row r="676" ht="15.75" customHeight="1">
      <c r="B676" s="106"/>
      <c r="C676" s="107"/>
      <c r="D676" s="108"/>
      <c r="E676" s="109"/>
      <c r="F676" s="107"/>
      <c r="G676" s="110"/>
      <c r="H676" s="109"/>
      <c r="I676" s="9"/>
      <c r="J676" s="9"/>
      <c r="K676" s="9"/>
      <c r="L676" s="9"/>
      <c r="M676" s="9"/>
      <c r="N676" s="9"/>
      <c r="O676" s="9"/>
      <c r="P676" s="9"/>
      <c r="Q676" s="9"/>
      <c r="R676" s="9"/>
      <c r="S676" s="9"/>
      <c r="T676" s="9"/>
      <c r="U676" s="9"/>
      <c r="V676" s="9"/>
      <c r="W676" s="9"/>
      <c r="X676" s="9"/>
      <c r="Y676" s="9"/>
      <c r="Z676" s="9"/>
      <c r="AA676" s="9"/>
      <c r="AB676" s="9"/>
      <c r="AC676" s="9"/>
    </row>
    <row r="677" ht="15.75" customHeight="1">
      <c r="B677" s="106"/>
      <c r="C677" s="107"/>
      <c r="D677" s="108"/>
      <c r="E677" s="109"/>
      <c r="F677" s="107"/>
      <c r="G677" s="110"/>
      <c r="H677" s="109"/>
      <c r="I677" s="9"/>
      <c r="J677" s="9"/>
      <c r="K677" s="9"/>
      <c r="L677" s="9"/>
      <c r="M677" s="9"/>
      <c r="N677" s="9"/>
      <c r="O677" s="9"/>
      <c r="P677" s="9"/>
      <c r="Q677" s="9"/>
      <c r="R677" s="9"/>
      <c r="S677" s="9"/>
      <c r="T677" s="9"/>
      <c r="U677" s="9"/>
      <c r="V677" s="9"/>
      <c r="W677" s="9"/>
      <c r="X677" s="9"/>
      <c r="Y677" s="9"/>
      <c r="Z677" s="9"/>
      <c r="AA677" s="9"/>
      <c r="AB677" s="9"/>
      <c r="AC677" s="9"/>
    </row>
    <row r="678" ht="15.75" customHeight="1">
      <c r="B678" s="106"/>
      <c r="C678" s="107"/>
      <c r="D678" s="108"/>
      <c r="E678" s="109"/>
      <c r="F678" s="107"/>
      <c r="G678" s="110"/>
      <c r="H678" s="109"/>
      <c r="I678" s="9"/>
      <c r="J678" s="9"/>
      <c r="K678" s="9"/>
      <c r="L678" s="9"/>
      <c r="M678" s="9"/>
      <c r="N678" s="9"/>
      <c r="O678" s="9"/>
      <c r="P678" s="9"/>
      <c r="Q678" s="9"/>
      <c r="R678" s="9"/>
      <c r="S678" s="9"/>
      <c r="T678" s="9"/>
      <c r="U678" s="9"/>
      <c r="V678" s="9"/>
      <c r="W678" s="9"/>
      <c r="X678" s="9"/>
      <c r="Y678" s="9"/>
      <c r="Z678" s="9"/>
      <c r="AA678" s="9"/>
      <c r="AB678" s="9"/>
      <c r="AC678" s="9"/>
    </row>
    <row r="679" ht="15.75" customHeight="1">
      <c r="B679" s="106"/>
      <c r="C679" s="107"/>
      <c r="D679" s="108"/>
      <c r="E679" s="109"/>
      <c r="F679" s="107"/>
      <c r="G679" s="110"/>
      <c r="H679" s="109"/>
      <c r="I679" s="9"/>
      <c r="J679" s="9"/>
      <c r="K679" s="9"/>
      <c r="L679" s="9"/>
      <c r="M679" s="9"/>
      <c r="N679" s="9"/>
      <c r="O679" s="9"/>
      <c r="P679" s="9"/>
      <c r="Q679" s="9"/>
      <c r="R679" s="9"/>
      <c r="S679" s="9"/>
      <c r="T679" s="9"/>
      <c r="U679" s="9"/>
      <c r="V679" s="9"/>
      <c r="W679" s="9"/>
      <c r="X679" s="9"/>
      <c r="Y679" s="9"/>
      <c r="Z679" s="9"/>
      <c r="AA679" s="9"/>
      <c r="AB679" s="9"/>
      <c r="AC679" s="9"/>
    </row>
    <row r="680" ht="15.75" customHeight="1">
      <c r="B680" s="106"/>
      <c r="C680" s="107"/>
      <c r="D680" s="108"/>
      <c r="E680" s="109"/>
      <c r="F680" s="107"/>
      <c r="G680" s="110"/>
      <c r="H680" s="109"/>
      <c r="I680" s="9"/>
      <c r="J680" s="9"/>
      <c r="K680" s="9"/>
      <c r="L680" s="9"/>
      <c r="M680" s="9"/>
      <c r="N680" s="9"/>
      <c r="O680" s="9"/>
      <c r="P680" s="9"/>
      <c r="Q680" s="9"/>
      <c r="R680" s="9"/>
      <c r="S680" s="9"/>
      <c r="T680" s="9"/>
      <c r="U680" s="9"/>
      <c r="V680" s="9"/>
      <c r="W680" s="9"/>
      <c r="X680" s="9"/>
      <c r="Y680" s="9"/>
      <c r="Z680" s="9"/>
      <c r="AA680" s="9"/>
      <c r="AB680" s="9"/>
      <c r="AC680" s="9"/>
    </row>
    <row r="681" ht="15.75" customHeight="1">
      <c r="B681" s="106"/>
      <c r="C681" s="107"/>
      <c r="D681" s="108"/>
      <c r="E681" s="109"/>
      <c r="F681" s="107"/>
      <c r="G681" s="110"/>
      <c r="H681" s="109"/>
      <c r="I681" s="9"/>
      <c r="J681" s="9"/>
      <c r="K681" s="9"/>
      <c r="L681" s="9"/>
      <c r="M681" s="9"/>
      <c r="N681" s="9"/>
      <c r="O681" s="9"/>
      <c r="P681" s="9"/>
      <c r="Q681" s="9"/>
      <c r="R681" s="9"/>
      <c r="S681" s="9"/>
      <c r="T681" s="9"/>
      <c r="U681" s="9"/>
      <c r="V681" s="9"/>
      <c r="W681" s="9"/>
      <c r="X681" s="9"/>
      <c r="Y681" s="9"/>
      <c r="Z681" s="9"/>
      <c r="AA681" s="9"/>
      <c r="AB681" s="9"/>
      <c r="AC681" s="9"/>
    </row>
    <row r="682" ht="15.75" customHeight="1">
      <c r="B682" s="106"/>
      <c r="C682" s="107"/>
      <c r="D682" s="108"/>
      <c r="E682" s="109"/>
      <c r="F682" s="107"/>
      <c r="G682" s="110"/>
      <c r="H682" s="109"/>
      <c r="I682" s="9"/>
      <c r="J682" s="9"/>
      <c r="K682" s="9"/>
      <c r="L682" s="9"/>
      <c r="M682" s="9"/>
      <c r="N682" s="9"/>
      <c r="O682" s="9"/>
      <c r="P682" s="9"/>
      <c r="Q682" s="9"/>
      <c r="R682" s="9"/>
      <c r="S682" s="9"/>
      <c r="T682" s="9"/>
      <c r="U682" s="9"/>
      <c r="V682" s="9"/>
      <c r="W682" s="9"/>
      <c r="X682" s="9"/>
      <c r="Y682" s="9"/>
      <c r="Z682" s="9"/>
      <c r="AA682" s="9"/>
      <c r="AB682" s="9"/>
      <c r="AC682" s="9"/>
    </row>
    <row r="683" ht="15.75" customHeight="1">
      <c r="B683" s="106"/>
      <c r="C683" s="107"/>
      <c r="D683" s="108"/>
      <c r="E683" s="109"/>
      <c r="F683" s="107"/>
      <c r="G683" s="110"/>
      <c r="H683" s="109"/>
      <c r="I683" s="9"/>
      <c r="J683" s="9"/>
      <c r="K683" s="9"/>
      <c r="L683" s="9"/>
      <c r="M683" s="9"/>
      <c r="N683" s="9"/>
      <c r="O683" s="9"/>
      <c r="P683" s="9"/>
      <c r="Q683" s="9"/>
      <c r="R683" s="9"/>
      <c r="S683" s="9"/>
      <c r="T683" s="9"/>
      <c r="U683" s="9"/>
      <c r="V683" s="9"/>
      <c r="W683" s="9"/>
      <c r="X683" s="9"/>
      <c r="Y683" s="9"/>
      <c r="Z683" s="9"/>
      <c r="AA683" s="9"/>
      <c r="AB683" s="9"/>
      <c r="AC683" s="9"/>
    </row>
    <row r="684" ht="15.75" customHeight="1">
      <c r="B684" s="106"/>
      <c r="C684" s="107"/>
      <c r="D684" s="108"/>
      <c r="E684" s="109"/>
      <c r="F684" s="107"/>
      <c r="G684" s="110"/>
      <c r="H684" s="109"/>
      <c r="I684" s="9"/>
      <c r="J684" s="9"/>
      <c r="K684" s="9"/>
      <c r="L684" s="9"/>
      <c r="M684" s="9"/>
      <c r="N684" s="9"/>
      <c r="O684" s="9"/>
      <c r="P684" s="9"/>
      <c r="Q684" s="9"/>
      <c r="R684" s="9"/>
      <c r="S684" s="9"/>
      <c r="T684" s="9"/>
      <c r="U684" s="9"/>
      <c r="V684" s="9"/>
      <c r="W684" s="9"/>
      <c r="X684" s="9"/>
      <c r="Y684" s="9"/>
      <c r="Z684" s="9"/>
      <c r="AA684" s="9"/>
      <c r="AB684" s="9"/>
      <c r="AC684" s="9"/>
    </row>
    <row r="685" ht="15.75" customHeight="1">
      <c r="B685" s="106"/>
      <c r="C685" s="107"/>
      <c r="D685" s="108"/>
      <c r="E685" s="109"/>
      <c r="F685" s="107"/>
      <c r="G685" s="110"/>
      <c r="H685" s="109"/>
      <c r="I685" s="9"/>
      <c r="J685" s="9"/>
      <c r="K685" s="9"/>
      <c r="L685" s="9"/>
      <c r="M685" s="9"/>
      <c r="N685" s="9"/>
      <c r="O685" s="9"/>
      <c r="P685" s="9"/>
      <c r="Q685" s="9"/>
      <c r="R685" s="9"/>
      <c r="S685" s="9"/>
      <c r="T685" s="9"/>
      <c r="U685" s="9"/>
      <c r="V685" s="9"/>
      <c r="W685" s="9"/>
      <c r="X685" s="9"/>
      <c r="Y685" s="9"/>
      <c r="Z685" s="9"/>
      <c r="AA685" s="9"/>
      <c r="AB685" s="9"/>
      <c r="AC685" s="9"/>
    </row>
    <row r="686" ht="15.75" customHeight="1">
      <c r="B686" s="106"/>
      <c r="C686" s="107"/>
      <c r="D686" s="108"/>
      <c r="E686" s="109"/>
      <c r="F686" s="107"/>
      <c r="G686" s="110"/>
      <c r="H686" s="109"/>
      <c r="I686" s="9"/>
      <c r="J686" s="9"/>
      <c r="K686" s="9"/>
      <c r="L686" s="9"/>
      <c r="M686" s="9"/>
      <c r="N686" s="9"/>
      <c r="O686" s="9"/>
      <c r="P686" s="9"/>
      <c r="Q686" s="9"/>
      <c r="R686" s="9"/>
      <c r="S686" s="9"/>
      <c r="T686" s="9"/>
      <c r="U686" s="9"/>
      <c r="V686" s="9"/>
      <c r="W686" s="9"/>
      <c r="X686" s="9"/>
      <c r="Y686" s="9"/>
      <c r="Z686" s="9"/>
      <c r="AA686" s="9"/>
      <c r="AB686" s="9"/>
      <c r="AC686" s="9"/>
    </row>
    <row r="687" ht="15.75" customHeight="1">
      <c r="B687" s="106"/>
      <c r="C687" s="107"/>
      <c r="D687" s="108"/>
      <c r="E687" s="109"/>
      <c r="F687" s="107"/>
      <c r="G687" s="110"/>
      <c r="H687" s="109"/>
      <c r="I687" s="9"/>
      <c r="J687" s="9"/>
      <c r="K687" s="9"/>
      <c r="L687" s="9"/>
      <c r="M687" s="9"/>
      <c r="N687" s="9"/>
      <c r="O687" s="9"/>
      <c r="P687" s="9"/>
      <c r="Q687" s="9"/>
      <c r="R687" s="9"/>
      <c r="S687" s="9"/>
      <c r="T687" s="9"/>
      <c r="U687" s="9"/>
      <c r="V687" s="9"/>
      <c r="W687" s="9"/>
      <c r="X687" s="9"/>
      <c r="Y687" s="9"/>
      <c r="Z687" s="9"/>
      <c r="AA687" s="9"/>
      <c r="AB687" s="9"/>
      <c r="AC687" s="9"/>
    </row>
    <row r="688" ht="15.75" customHeight="1">
      <c r="B688" s="106"/>
      <c r="C688" s="107"/>
      <c r="D688" s="108"/>
      <c r="E688" s="109"/>
      <c r="F688" s="107"/>
      <c r="G688" s="110"/>
      <c r="H688" s="109"/>
      <c r="I688" s="9"/>
      <c r="J688" s="9"/>
      <c r="K688" s="9"/>
      <c r="L688" s="9"/>
      <c r="M688" s="9"/>
      <c r="N688" s="9"/>
      <c r="O688" s="9"/>
      <c r="P688" s="9"/>
      <c r="Q688" s="9"/>
      <c r="R688" s="9"/>
      <c r="S688" s="9"/>
      <c r="T688" s="9"/>
      <c r="U688" s="9"/>
      <c r="V688" s="9"/>
      <c r="W688" s="9"/>
      <c r="X688" s="9"/>
      <c r="Y688" s="9"/>
      <c r="Z688" s="9"/>
      <c r="AA688" s="9"/>
      <c r="AB688" s="9"/>
      <c r="AC688" s="9"/>
    </row>
    <row r="689" ht="15.75" customHeight="1">
      <c r="B689" s="106"/>
      <c r="C689" s="107"/>
      <c r="D689" s="108"/>
      <c r="E689" s="109"/>
      <c r="F689" s="107"/>
      <c r="G689" s="110"/>
      <c r="H689" s="109"/>
      <c r="I689" s="9"/>
      <c r="J689" s="9"/>
      <c r="K689" s="9"/>
      <c r="L689" s="9"/>
      <c r="M689" s="9"/>
      <c r="N689" s="9"/>
      <c r="O689" s="9"/>
      <c r="P689" s="9"/>
      <c r="Q689" s="9"/>
      <c r="R689" s="9"/>
      <c r="S689" s="9"/>
      <c r="T689" s="9"/>
      <c r="U689" s="9"/>
      <c r="V689" s="9"/>
      <c r="W689" s="9"/>
      <c r="X689" s="9"/>
      <c r="Y689" s="9"/>
      <c r="Z689" s="9"/>
      <c r="AA689" s="9"/>
      <c r="AB689" s="9"/>
      <c r="AC689" s="9"/>
    </row>
    <row r="690" ht="15.75" customHeight="1">
      <c r="B690" s="106"/>
      <c r="C690" s="107"/>
      <c r="D690" s="108"/>
      <c r="E690" s="109"/>
      <c r="F690" s="107"/>
      <c r="G690" s="110"/>
      <c r="H690" s="109"/>
      <c r="I690" s="9"/>
      <c r="J690" s="9"/>
      <c r="K690" s="9"/>
      <c r="L690" s="9"/>
      <c r="M690" s="9"/>
      <c r="N690" s="9"/>
      <c r="O690" s="9"/>
      <c r="P690" s="9"/>
      <c r="Q690" s="9"/>
      <c r="R690" s="9"/>
      <c r="S690" s="9"/>
      <c r="T690" s="9"/>
      <c r="U690" s="9"/>
      <c r="V690" s="9"/>
      <c r="W690" s="9"/>
      <c r="X690" s="9"/>
      <c r="Y690" s="9"/>
      <c r="Z690" s="9"/>
      <c r="AA690" s="9"/>
      <c r="AB690" s="9"/>
      <c r="AC690" s="9"/>
    </row>
    <row r="691" ht="15.75" customHeight="1">
      <c r="B691" s="106"/>
      <c r="C691" s="107"/>
      <c r="D691" s="108"/>
      <c r="E691" s="109"/>
      <c r="F691" s="107"/>
      <c r="G691" s="110"/>
      <c r="H691" s="109"/>
      <c r="I691" s="9"/>
      <c r="J691" s="9"/>
      <c r="K691" s="9"/>
      <c r="L691" s="9"/>
      <c r="M691" s="9"/>
      <c r="N691" s="9"/>
      <c r="O691" s="9"/>
      <c r="P691" s="9"/>
      <c r="Q691" s="9"/>
      <c r="R691" s="9"/>
      <c r="S691" s="9"/>
      <c r="T691" s="9"/>
      <c r="U691" s="9"/>
      <c r="V691" s="9"/>
      <c r="W691" s="9"/>
      <c r="X691" s="9"/>
      <c r="Y691" s="9"/>
      <c r="Z691" s="9"/>
      <c r="AA691" s="9"/>
      <c r="AB691" s="9"/>
      <c r="AC691" s="9"/>
    </row>
    <row r="692" ht="15.75" customHeight="1">
      <c r="B692" s="106"/>
      <c r="C692" s="107"/>
      <c r="D692" s="108"/>
      <c r="E692" s="109"/>
      <c r="F692" s="107"/>
      <c r="G692" s="110"/>
      <c r="H692" s="109"/>
      <c r="I692" s="9"/>
      <c r="J692" s="9"/>
      <c r="K692" s="9"/>
      <c r="L692" s="9"/>
      <c r="M692" s="9"/>
      <c r="N692" s="9"/>
      <c r="O692" s="9"/>
      <c r="P692" s="9"/>
      <c r="Q692" s="9"/>
      <c r="R692" s="9"/>
      <c r="S692" s="9"/>
      <c r="T692" s="9"/>
      <c r="U692" s="9"/>
      <c r="V692" s="9"/>
      <c r="W692" s="9"/>
      <c r="X692" s="9"/>
      <c r="Y692" s="9"/>
      <c r="Z692" s="9"/>
      <c r="AA692" s="9"/>
      <c r="AB692" s="9"/>
      <c r="AC692" s="9"/>
    </row>
    <row r="693" ht="15.75" customHeight="1">
      <c r="B693" s="106"/>
      <c r="C693" s="107"/>
      <c r="D693" s="108"/>
      <c r="E693" s="109"/>
      <c r="F693" s="107"/>
      <c r="G693" s="110"/>
      <c r="H693" s="109"/>
      <c r="I693" s="9"/>
      <c r="J693" s="9"/>
      <c r="K693" s="9"/>
      <c r="L693" s="9"/>
      <c r="M693" s="9"/>
      <c r="N693" s="9"/>
      <c r="O693" s="9"/>
      <c r="P693" s="9"/>
      <c r="Q693" s="9"/>
      <c r="R693" s="9"/>
      <c r="S693" s="9"/>
      <c r="T693" s="9"/>
      <c r="U693" s="9"/>
      <c r="V693" s="9"/>
      <c r="W693" s="9"/>
      <c r="X693" s="9"/>
      <c r="Y693" s="9"/>
      <c r="Z693" s="9"/>
      <c r="AA693" s="9"/>
      <c r="AB693" s="9"/>
      <c r="AC693" s="9"/>
    </row>
    <row r="694" ht="15.75" customHeight="1">
      <c r="B694" s="106"/>
      <c r="C694" s="107"/>
      <c r="D694" s="108"/>
      <c r="E694" s="109"/>
      <c r="F694" s="107"/>
      <c r="G694" s="110"/>
      <c r="H694" s="109"/>
      <c r="I694" s="9"/>
      <c r="J694" s="9"/>
      <c r="K694" s="9"/>
      <c r="L694" s="9"/>
      <c r="M694" s="9"/>
      <c r="N694" s="9"/>
      <c r="O694" s="9"/>
      <c r="P694" s="9"/>
      <c r="Q694" s="9"/>
      <c r="R694" s="9"/>
      <c r="S694" s="9"/>
      <c r="T694" s="9"/>
      <c r="U694" s="9"/>
      <c r="V694" s="9"/>
      <c r="W694" s="9"/>
      <c r="X694" s="9"/>
      <c r="Y694" s="9"/>
      <c r="Z694" s="9"/>
      <c r="AA694" s="9"/>
      <c r="AB694" s="9"/>
      <c r="AC694" s="9"/>
    </row>
    <row r="695" ht="15.75" customHeight="1">
      <c r="B695" s="106"/>
      <c r="C695" s="107"/>
      <c r="D695" s="108"/>
      <c r="E695" s="109"/>
      <c r="F695" s="107"/>
      <c r="G695" s="110"/>
      <c r="H695" s="109"/>
      <c r="I695" s="9"/>
      <c r="J695" s="9"/>
      <c r="K695" s="9"/>
      <c r="L695" s="9"/>
      <c r="M695" s="9"/>
      <c r="N695" s="9"/>
      <c r="O695" s="9"/>
      <c r="P695" s="9"/>
      <c r="Q695" s="9"/>
      <c r="R695" s="9"/>
      <c r="S695" s="9"/>
      <c r="T695" s="9"/>
      <c r="U695" s="9"/>
      <c r="V695" s="9"/>
      <c r="W695" s="9"/>
      <c r="X695" s="9"/>
      <c r="Y695" s="9"/>
      <c r="Z695" s="9"/>
      <c r="AA695" s="9"/>
      <c r="AB695" s="9"/>
      <c r="AC695" s="9"/>
    </row>
    <row r="696" ht="15.75" customHeight="1">
      <c r="B696" s="106"/>
      <c r="C696" s="107"/>
      <c r="D696" s="108"/>
      <c r="E696" s="109"/>
      <c r="F696" s="107"/>
      <c r="G696" s="110"/>
      <c r="H696" s="109"/>
      <c r="I696" s="9"/>
      <c r="J696" s="9"/>
      <c r="K696" s="9"/>
      <c r="L696" s="9"/>
      <c r="M696" s="9"/>
      <c r="N696" s="9"/>
      <c r="O696" s="9"/>
      <c r="P696" s="9"/>
      <c r="Q696" s="9"/>
      <c r="R696" s="9"/>
      <c r="S696" s="9"/>
      <c r="T696" s="9"/>
      <c r="U696" s="9"/>
      <c r="V696" s="9"/>
      <c r="W696" s="9"/>
      <c r="X696" s="9"/>
      <c r="Y696" s="9"/>
      <c r="Z696" s="9"/>
      <c r="AA696" s="9"/>
      <c r="AB696" s="9"/>
      <c r="AC696" s="9"/>
    </row>
    <row r="697" ht="15.75" customHeight="1">
      <c r="B697" s="106"/>
      <c r="C697" s="107"/>
      <c r="D697" s="108"/>
      <c r="E697" s="109"/>
      <c r="F697" s="107"/>
      <c r="G697" s="110"/>
      <c r="H697" s="109"/>
      <c r="I697" s="9"/>
      <c r="J697" s="9"/>
      <c r="K697" s="9"/>
      <c r="L697" s="9"/>
      <c r="M697" s="9"/>
      <c r="N697" s="9"/>
      <c r="O697" s="9"/>
      <c r="P697" s="9"/>
      <c r="Q697" s="9"/>
      <c r="R697" s="9"/>
      <c r="S697" s="9"/>
      <c r="T697" s="9"/>
      <c r="U697" s="9"/>
      <c r="V697" s="9"/>
      <c r="W697" s="9"/>
      <c r="X697" s="9"/>
      <c r="Y697" s="9"/>
      <c r="Z697" s="9"/>
      <c r="AA697" s="9"/>
      <c r="AB697" s="9"/>
      <c r="AC697" s="9"/>
    </row>
    <row r="698" ht="15.75" customHeight="1">
      <c r="B698" s="106"/>
      <c r="C698" s="107"/>
      <c r="D698" s="108"/>
      <c r="E698" s="109"/>
      <c r="F698" s="107"/>
      <c r="G698" s="110"/>
      <c r="H698" s="109"/>
      <c r="I698" s="9"/>
      <c r="J698" s="9"/>
      <c r="K698" s="9"/>
      <c r="L698" s="9"/>
      <c r="M698" s="9"/>
      <c r="N698" s="9"/>
      <c r="O698" s="9"/>
      <c r="P698" s="9"/>
      <c r="Q698" s="9"/>
      <c r="R698" s="9"/>
      <c r="S698" s="9"/>
      <c r="T698" s="9"/>
      <c r="U698" s="9"/>
      <c r="V698" s="9"/>
      <c r="W698" s="9"/>
      <c r="X698" s="9"/>
      <c r="Y698" s="9"/>
      <c r="Z698" s="9"/>
      <c r="AA698" s="9"/>
      <c r="AB698" s="9"/>
      <c r="AC698" s="9"/>
    </row>
    <row r="699" ht="15.75" customHeight="1">
      <c r="B699" s="106"/>
      <c r="C699" s="107"/>
      <c r="D699" s="108"/>
      <c r="E699" s="109"/>
      <c r="F699" s="107"/>
      <c r="G699" s="110"/>
      <c r="H699" s="109"/>
      <c r="I699" s="9"/>
      <c r="J699" s="9"/>
      <c r="K699" s="9"/>
      <c r="L699" s="9"/>
      <c r="M699" s="9"/>
      <c r="N699" s="9"/>
      <c r="O699" s="9"/>
      <c r="P699" s="9"/>
      <c r="Q699" s="9"/>
      <c r="R699" s="9"/>
      <c r="S699" s="9"/>
      <c r="T699" s="9"/>
      <c r="U699" s="9"/>
      <c r="V699" s="9"/>
      <c r="W699" s="9"/>
      <c r="X699" s="9"/>
      <c r="Y699" s="9"/>
      <c r="Z699" s="9"/>
      <c r="AA699" s="9"/>
      <c r="AB699" s="9"/>
      <c r="AC699" s="9"/>
    </row>
    <row r="700" ht="15.75" customHeight="1">
      <c r="B700" s="106"/>
      <c r="C700" s="107"/>
      <c r="D700" s="108"/>
      <c r="E700" s="109"/>
      <c r="F700" s="107"/>
      <c r="G700" s="110"/>
      <c r="H700" s="109"/>
      <c r="I700" s="9"/>
      <c r="J700" s="9"/>
      <c r="K700" s="9"/>
      <c r="L700" s="9"/>
      <c r="M700" s="9"/>
      <c r="N700" s="9"/>
      <c r="O700" s="9"/>
      <c r="P700" s="9"/>
      <c r="Q700" s="9"/>
      <c r="R700" s="9"/>
      <c r="S700" s="9"/>
      <c r="T700" s="9"/>
      <c r="U700" s="9"/>
      <c r="V700" s="9"/>
      <c r="W700" s="9"/>
      <c r="X700" s="9"/>
      <c r="Y700" s="9"/>
      <c r="Z700" s="9"/>
      <c r="AA700" s="9"/>
      <c r="AB700" s="9"/>
      <c r="AC700" s="9"/>
    </row>
    <row r="701" ht="15.75" customHeight="1">
      <c r="B701" s="106"/>
      <c r="C701" s="107"/>
      <c r="D701" s="108"/>
      <c r="E701" s="109"/>
      <c r="F701" s="107"/>
      <c r="G701" s="110"/>
      <c r="H701" s="109"/>
      <c r="I701" s="9"/>
      <c r="J701" s="9"/>
      <c r="K701" s="9"/>
      <c r="L701" s="9"/>
      <c r="M701" s="9"/>
      <c r="N701" s="9"/>
      <c r="O701" s="9"/>
      <c r="P701" s="9"/>
      <c r="Q701" s="9"/>
      <c r="R701" s="9"/>
      <c r="S701" s="9"/>
      <c r="T701" s="9"/>
      <c r="U701" s="9"/>
      <c r="V701" s="9"/>
      <c r="W701" s="9"/>
      <c r="X701" s="9"/>
      <c r="Y701" s="9"/>
      <c r="Z701" s="9"/>
      <c r="AA701" s="9"/>
      <c r="AB701" s="9"/>
      <c r="AC701" s="9"/>
    </row>
    <row r="702" ht="15.75" customHeight="1">
      <c r="B702" s="106"/>
      <c r="C702" s="107"/>
      <c r="D702" s="108"/>
      <c r="E702" s="109"/>
      <c r="F702" s="107"/>
      <c r="G702" s="110"/>
      <c r="H702" s="109"/>
      <c r="I702" s="9"/>
      <c r="J702" s="9"/>
      <c r="K702" s="9"/>
      <c r="L702" s="9"/>
      <c r="M702" s="9"/>
      <c r="N702" s="9"/>
      <c r="O702" s="9"/>
      <c r="P702" s="9"/>
      <c r="Q702" s="9"/>
      <c r="R702" s="9"/>
      <c r="S702" s="9"/>
      <c r="T702" s="9"/>
      <c r="U702" s="9"/>
      <c r="V702" s="9"/>
      <c r="W702" s="9"/>
      <c r="X702" s="9"/>
      <c r="Y702" s="9"/>
      <c r="Z702" s="9"/>
      <c r="AA702" s="9"/>
      <c r="AB702" s="9"/>
      <c r="AC702" s="9"/>
    </row>
    <row r="703" ht="15.75" customHeight="1">
      <c r="B703" s="106"/>
      <c r="C703" s="107"/>
      <c r="D703" s="108"/>
      <c r="E703" s="109"/>
      <c r="F703" s="107"/>
      <c r="G703" s="110"/>
      <c r="H703" s="109"/>
      <c r="I703" s="9"/>
      <c r="J703" s="9"/>
      <c r="K703" s="9"/>
      <c r="L703" s="9"/>
      <c r="M703" s="9"/>
      <c r="N703" s="9"/>
      <c r="O703" s="9"/>
      <c r="P703" s="9"/>
      <c r="Q703" s="9"/>
      <c r="R703" s="9"/>
      <c r="S703" s="9"/>
      <c r="T703" s="9"/>
      <c r="U703" s="9"/>
      <c r="V703" s="9"/>
      <c r="W703" s="9"/>
      <c r="X703" s="9"/>
      <c r="Y703" s="9"/>
      <c r="Z703" s="9"/>
      <c r="AA703" s="9"/>
      <c r="AB703" s="9"/>
      <c r="AC703" s="9"/>
    </row>
    <row r="704" ht="15.75" customHeight="1">
      <c r="B704" s="106"/>
      <c r="C704" s="107"/>
      <c r="D704" s="108"/>
      <c r="E704" s="109"/>
      <c r="F704" s="107"/>
      <c r="G704" s="110"/>
      <c r="H704" s="109"/>
      <c r="I704" s="9"/>
      <c r="J704" s="9"/>
      <c r="K704" s="9"/>
      <c r="L704" s="9"/>
      <c r="M704" s="9"/>
      <c r="N704" s="9"/>
      <c r="O704" s="9"/>
      <c r="P704" s="9"/>
      <c r="Q704" s="9"/>
      <c r="R704" s="9"/>
      <c r="S704" s="9"/>
      <c r="T704" s="9"/>
      <c r="U704" s="9"/>
      <c r="V704" s="9"/>
      <c r="W704" s="9"/>
      <c r="X704" s="9"/>
      <c r="Y704" s="9"/>
      <c r="Z704" s="9"/>
      <c r="AA704" s="9"/>
      <c r="AB704" s="9"/>
      <c r="AC704" s="9"/>
    </row>
    <row r="705" ht="15.75" customHeight="1">
      <c r="B705" s="106"/>
      <c r="C705" s="107"/>
      <c r="D705" s="108"/>
      <c r="E705" s="109"/>
      <c r="F705" s="107"/>
      <c r="G705" s="110"/>
      <c r="H705" s="109"/>
      <c r="I705" s="9"/>
      <c r="J705" s="9"/>
      <c r="K705" s="9"/>
      <c r="L705" s="9"/>
      <c r="M705" s="9"/>
      <c r="N705" s="9"/>
      <c r="O705" s="9"/>
      <c r="P705" s="9"/>
      <c r="Q705" s="9"/>
      <c r="R705" s="9"/>
      <c r="S705" s="9"/>
      <c r="T705" s="9"/>
      <c r="U705" s="9"/>
      <c r="V705" s="9"/>
      <c r="W705" s="9"/>
      <c r="X705" s="9"/>
      <c r="Y705" s="9"/>
      <c r="Z705" s="9"/>
      <c r="AA705" s="9"/>
      <c r="AB705" s="9"/>
      <c r="AC705" s="9"/>
    </row>
    <row r="706" ht="15.75" customHeight="1">
      <c r="B706" s="106"/>
      <c r="C706" s="107"/>
      <c r="D706" s="108"/>
      <c r="E706" s="109"/>
      <c r="F706" s="107"/>
      <c r="G706" s="110"/>
      <c r="H706" s="109"/>
      <c r="I706" s="9"/>
      <c r="J706" s="9"/>
      <c r="K706" s="9"/>
      <c r="L706" s="9"/>
      <c r="M706" s="9"/>
      <c r="N706" s="9"/>
      <c r="O706" s="9"/>
      <c r="P706" s="9"/>
      <c r="Q706" s="9"/>
      <c r="R706" s="9"/>
      <c r="S706" s="9"/>
      <c r="T706" s="9"/>
      <c r="U706" s="9"/>
      <c r="V706" s="9"/>
      <c r="W706" s="9"/>
      <c r="X706" s="9"/>
      <c r="Y706" s="9"/>
      <c r="Z706" s="9"/>
      <c r="AA706" s="9"/>
      <c r="AB706" s="9"/>
      <c r="AC706" s="9"/>
    </row>
    <row r="707" ht="15.75" customHeight="1">
      <c r="B707" s="106"/>
      <c r="C707" s="107"/>
      <c r="D707" s="108"/>
      <c r="E707" s="109"/>
      <c r="F707" s="107"/>
      <c r="G707" s="110"/>
      <c r="H707" s="109"/>
      <c r="I707" s="9"/>
      <c r="J707" s="9"/>
      <c r="K707" s="9"/>
      <c r="L707" s="9"/>
      <c r="M707" s="9"/>
      <c r="N707" s="9"/>
      <c r="O707" s="9"/>
      <c r="P707" s="9"/>
      <c r="Q707" s="9"/>
      <c r="R707" s="9"/>
      <c r="S707" s="9"/>
      <c r="T707" s="9"/>
      <c r="U707" s="9"/>
      <c r="V707" s="9"/>
      <c r="W707" s="9"/>
      <c r="X707" s="9"/>
      <c r="Y707" s="9"/>
      <c r="Z707" s="9"/>
      <c r="AA707" s="9"/>
      <c r="AB707" s="9"/>
      <c r="AC707" s="9"/>
    </row>
    <row r="708" ht="15.75" customHeight="1">
      <c r="B708" s="106"/>
      <c r="C708" s="107"/>
      <c r="D708" s="108"/>
      <c r="E708" s="109"/>
      <c r="F708" s="107"/>
      <c r="G708" s="110"/>
      <c r="H708" s="109"/>
      <c r="I708" s="9"/>
      <c r="J708" s="9"/>
      <c r="K708" s="9"/>
      <c r="L708" s="9"/>
      <c r="M708" s="9"/>
      <c r="N708" s="9"/>
      <c r="O708" s="9"/>
      <c r="P708" s="9"/>
      <c r="Q708" s="9"/>
      <c r="R708" s="9"/>
      <c r="S708" s="9"/>
      <c r="T708" s="9"/>
      <c r="U708" s="9"/>
      <c r="V708" s="9"/>
      <c r="W708" s="9"/>
      <c r="X708" s="9"/>
      <c r="Y708" s="9"/>
      <c r="Z708" s="9"/>
      <c r="AA708" s="9"/>
      <c r="AB708" s="9"/>
      <c r="AC708" s="9"/>
    </row>
    <row r="709" ht="15.75" customHeight="1">
      <c r="B709" s="106"/>
      <c r="C709" s="107"/>
      <c r="D709" s="108"/>
      <c r="E709" s="109"/>
      <c r="F709" s="107"/>
      <c r="G709" s="110"/>
      <c r="H709" s="109"/>
      <c r="I709" s="9"/>
      <c r="J709" s="9"/>
      <c r="K709" s="9"/>
      <c r="L709" s="9"/>
      <c r="M709" s="9"/>
      <c r="N709" s="9"/>
      <c r="O709" s="9"/>
      <c r="P709" s="9"/>
      <c r="Q709" s="9"/>
      <c r="R709" s="9"/>
      <c r="S709" s="9"/>
      <c r="T709" s="9"/>
      <c r="U709" s="9"/>
      <c r="V709" s="9"/>
      <c r="W709" s="9"/>
      <c r="X709" s="9"/>
      <c r="Y709" s="9"/>
      <c r="Z709" s="9"/>
      <c r="AA709" s="9"/>
      <c r="AB709" s="9"/>
      <c r="AC709" s="9"/>
    </row>
    <row r="710" ht="15.75" customHeight="1">
      <c r="B710" s="106"/>
      <c r="C710" s="107"/>
      <c r="D710" s="108"/>
      <c r="E710" s="109"/>
      <c r="F710" s="107"/>
      <c r="G710" s="110"/>
      <c r="H710" s="109"/>
      <c r="I710" s="9"/>
      <c r="J710" s="9"/>
      <c r="K710" s="9"/>
      <c r="L710" s="9"/>
      <c r="M710" s="9"/>
      <c r="N710" s="9"/>
      <c r="O710" s="9"/>
      <c r="P710" s="9"/>
      <c r="Q710" s="9"/>
      <c r="R710" s="9"/>
      <c r="S710" s="9"/>
      <c r="T710" s="9"/>
      <c r="U710" s="9"/>
      <c r="V710" s="9"/>
      <c r="W710" s="9"/>
      <c r="X710" s="9"/>
      <c r="Y710" s="9"/>
      <c r="Z710" s="9"/>
      <c r="AA710" s="9"/>
      <c r="AB710" s="9"/>
      <c r="AC710" s="9"/>
    </row>
    <row r="711" ht="15.75" customHeight="1">
      <c r="B711" s="106"/>
      <c r="C711" s="107"/>
      <c r="D711" s="108"/>
      <c r="E711" s="109"/>
      <c r="F711" s="107"/>
      <c r="G711" s="110"/>
      <c r="H711" s="109"/>
      <c r="I711" s="9"/>
      <c r="J711" s="9"/>
      <c r="K711" s="9"/>
      <c r="L711" s="9"/>
      <c r="M711" s="9"/>
      <c r="N711" s="9"/>
      <c r="O711" s="9"/>
      <c r="P711" s="9"/>
      <c r="Q711" s="9"/>
      <c r="R711" s="9"/>
      <c r="S711" s="9"/>
      <c r="T711" s="9"/>
      <c r="U711" s="9"/>
      <c r="V711" s="9"/>
      <c r="W711" s="9"/>
      <c r="X711" s="9"/>
      <c r="Y711" s="9"/>
      <c r="Z711" s="9"/>
      <c r="AA711" s="9"/>
      <c r="AB711" s="9"/>
      <c r="AC711" s="9"/>
    </row>
    <row r="712" ht="15.75" customHeight="1">
      <c r="B712" s="106"/>
      <c r="C712" s="107"/>
      <c r="D712" s="108"/>
      <c r="E712" s="109"/>
      <c r="F712" s="107"/>
      <c r="G712" s="110"/>
      <c r="H712" s="109"/>
      <c r="I712" s="9"/>
      <c r="J712" s="9"/>
      <c r="K712" s="9"/>
      <c r="L712" s="9"/>
      <c r="M712" s="9"/>
      <c r="N712" s="9"/>
      <c r="O712" s="9"/>
      <c r="P712" s="9"/>
      <c r="Q712" s="9"/>
      <c r="R712" s="9"/>
      <c r="S712" s="9"/>
      <c r="T712" s="9"/>
      <c r="U712" s="9"/>
      <c r="V712" s="9"/>
      <c r="W712" s="9"/>
      <c r="X712" s="9"/>
      <c r="Y712" s="9"/>
      <c r="Z712" s="9"/>
      <c r="AA712" s="9"/>
      <c r="AB712" s="9"/>
      <c r="AC712" s="9"/>
    </row>
    <row r="713" ht="15.75" customHeight="1">
      <c r="B713" s="106"/>
      <c r="C713" s="107"/>
      <c r="D713" s="108"/>
      <c r="E713" s="109"/>
      <c r="F713" s="107"/>
      <c r="G713" s="110"/>
      <c r="H713" s="109"/>
      <c r="I713" s="9"/>
      <c r="J713" s="9"/>
      <c r="K713" s="9"/>
      <c r="L713" s="9"/>
      <c r="M713" s="9"/>
      <c r="N713" s="9"/>
      <c r="O713" s="9"/>
      <c r="P713" s="9"/>
      <c r="Q713" s="9"/>
      <c r="R713" s="9"/>
      <c r="S713" s="9"/>
      <c r="T713" s="9"/>
      <c r="U713" s="9"/>
      <c r="V713" s="9"/>
      <c r="W713" s="9"/>
      <c r="X713" s="9"/>
      <c r="Y713" s="9"/>
      <c r="Z713" s="9"/>
      <c r="AA713" s="9"/>
      <c r="AB713" s="9"/>
      <c r="AC713" s="9"/>
    </row>
    <row r="714" ht="15.75" customHeight="1">
      <c r="B714" s="106"/>
      <c r="C714" s="107"/>
      <c r="D714" s="108"/>
      <c r="E714" s="109"/>
      <c r="F714" s="107"/>
      <c r="G714" s="110"/>
      <c r="H714" s="109"/>
      <c r="I714" s="9"/>
      <c r="J714" s="9"/>
      <c r="K714" s="9"/>
      <c r="L714" s="9"/>
      <c r="M714" s="9"/>
      <c r="N714" s="9"/>
      <c r="O714" s="9"/>
      <c r="P714" s="9"/>
      <c r="Q714" s="9"/>
      <c r="R714" s="9"/>
      <c r="S714" s="9"/>
      <c r="T714" s="9"/>
      <c r="U714" s="9"/>
      <c r="V714" s="9"/>
      <c r="W714" s="9"/>
      <c r="X714" s="9"/>
      <c r="Y714" s="9"/>
      <c r="Z714" s="9"/>
      <c r="AA714" s="9"/>
      <c r="AB714" s="9"/>
      <c r="AC714" s="9"/>
    </row>
    <row r="715" ht="15.75" customHeight="1">
      <c r="B715" s="106"/>
      <c r="C715" s="107"/>
      <c r="D715" s="108"/>
      <c r="E715" s="109"/>
      <c r="F715" s="107"/>
      <c r="G715" s="110"/>
      <c r="H715" s="109"/>
      <c r="I715" s="9"/>
      <c r="J715" s="9"/>
      <c r="K715" s="9"/>
      <c r="L715" s="9"/>
      <c r="M715" s="9"/>
      <c r="N715" s="9"/>
      <c r="O715" s="9"/>
      <c r="P715" s="9"/>
      <c r="Q715" s="9"/>
      <c r="R715" s="9"/>
      <c r="S715" s="9"/>
      <c r="T715" s="9"/>
      <c r="U715" s="9"/>
      <c r="V715" s="9"/>
      <c r="W715" s="9"/>
      <c r="X715" s="9"/>
      <c r="Y715" s="9"/>
      <c r="Z715" s="9"/>
      <c r="AA715" s="9"/>
      <c r="AB715" s="9"/>
      <c r="AC715" s="9"/>
    </row>
    <row r="716" ht="15.75" customHeight="1">
      <c r="B716" s="106"/>
      <c r="C716" s="107"/>
      <c r="D716" s="108"/>
      <c r="E716" s="109"/>
      <c r="F716" s="107"/>
      <c r="G716" s="110"/>
      <c r="H716" s="109"/>
      <c r="I716" s="9"/>
      <c r="J716" s="9"/>
      <c r="K716" s="9"/>
      <c r="L716" s="9"/>
      <c r="M716" s="9"/>
      <c r="N716" s="9"/>
      <c r="O716" s="9"/>
      <c r="P716" s="9"/>
      <c r="Q716" s="9"/>
      <c r="R716" s="9"/>
      <c r="S716" s="9"/>
      <c r="T716" s="9"/>
      <c r="U716" s="9"/>
      <c r="V716" s="9"/>
      <c r="W716" s="9"/>
      <c r="X716" s="9"/>
      <c r="Y716" s="9"/>
      <c r="Z716" s="9"/>
      <c r="AA716" s="9"/>
      <c r="AB716" s="9"/>
      <c r="AC716" s="9"/>
    </row>
    <row r="717" ht="15.75" customHeight="1">
      <c r="B717" s="106"/>
      <c r="C717" s="107"/>
      <c r="D717" s="108"/>
      <c r="E717" s="109"/>
      <c r="F717" s="107"/>
      <c r="G717" s="110"/>
      <c r="H717" s="109"/>
      <c r="I717" s="9"/>
      <c r="J717" s="9"/>
      <c r="K717" s="9"/>
      <c r="L717" s="9"/>
      <c r="M717" s="9"/>
      <c r="N717" s="9"/>
      <c r="O717" s="9"/>
      <c r="P717" s="9"/>
      <c r="Q717" s="9"/>
      <c r="R717" s="9"/>
      <c r="S717" s="9"/>
      <c r="T717" s="9"/>
      <c r="U717" s="9"/>
      <c r="V717" s="9"/>
      <c r="W717" s="9"/>
      <c r="X717" s="9"/>
      <c r="Y717" s="9"/>
      <c r="Z717" s="9"/>
      <c r="AA717" s="9"/>
      <c r="AB717" s="9"/>
      <c r="AC717" s="9"/>
    </row>
    <row r="718" ht="15.75" customHeight="1">
      <c r="B718" s="106"/>
      <c r="C718" s="107"/>
      <c r="D718" s="108"/>
      <c r="E718" s="109"/>
      <c r="F718" s="107"/>
      <c r="G718" s="110"/>
      <c r="H718" s="109"/>
      <c r="I718" s="9"/>
      <c r="J718" s="9"/>
      <c r="K718" s="9"/>
      <c r="L718" s="9"/>
      <c r="M718" s="9"/>
      <c r="N718" s="9"/>
      <c r="O718" s="9"/>
      <c r="P718" s="9"/>
      <c r="Q718" s="9"/>
      <c r="R718" s="9"/>
      <c r="S718" s="9"/>
      <c r="T718" s="9"/>
      <c r="U718" s="9"/>
      <c r="V718" s="9"/>
      <c r="W718" s="9"/>
      <c r="X718" s="9"/>
      <c r="Y718" s="9"/>
      <c r="Z718" s="9"/>
      <c r="AA718" s="9"/>
      <c r="AB718" s="9"/>
      <c r="AC718" s="9"/>
    </row>
    <row r="719" ht="15.75" customHeight="1">
      <c r="B719" s="106"/>
      <c r="C719" s="107"/>
      <c r="D719" s="108"/>
      <c r="E719" s="109"/>
      <c r="F719" s="107"/>
      <c r="G719" s="110"/>
      <c r="H719" s="109"/>
      <c r="I719" s="9"/>
      <c r="J719" s="9"/>
      <c r="K719" s="9"/>
      <c r="L719" s="9"/>
      <c r="M719" s="9"/>
      <c r="N719" s="9"/>
      <c r="O719" s="9"/>
      <c r="P719" s="9"/>
      <c r="Q719" s="9"/>
      <c r="R719" s="9"/>
      <c r="S719" s="9"/>
      <c r="T719" s="9"/>
      <c r="U719" s="9"/>
      <c r="V719" s="9"/>
      <c r="W719" s="9"/>
      <c r="X719" s="9"/>
      <c r="Y719" s="9"/>
      <c r="Z719" s="9"/>
      <c r="AA719" s="9"/>
      <c r="AB719" s="9"/>
      <c r="AC719" s="9"/>
    </row>
    <row r="720" ht="15.75" customHeight="1">
      <c r="B720" s="106"/>
      <c r="C720" s="107"/>
      <c r="D720" s="108"/>
      <c r="E720" s="109"/>
      <c r="F720" s="107"/>
      <c r="G720" s="110"/>
      <c r="H720" s="109"/>
      <c r="I720" s="9"/>
      <c r="J720" s="9"/>
      <c r="K720" s="9"/>
      <c r="L720" s="9"/>
      <c r="M720" s="9"/>
      <c r="N720" s="9"/>
      <c r="O720" s="9"/>
      <c r="P720" s="9"/>
      <c r="Q720" s="9"/>
      <c r="R720" s="9"/>
      <c r="S720" s="9"/>
      <c r="T720" s="9"/>
      <c r="U720" s="9"/>
      <c r="V720" s="9"/>
      <c r="W720" s="9"/>
      <c r="X720" s="9"/>
      <c r="Y720" s="9"/>
      <c r="Z720" s="9"/>
      <c r="AA720" s="9"/>
      <c r="AB720" s="9"/>
      <c r="AC720" s="9"/>
    </row>
    <row r="721" ht="15.75" customHeight="1">
      <c r="B721" s="106"/>
      <c r="C721" s="107"/>
      <c r="D721" s="108"/>
      <c r="E721" s="109"/>
      <c r="F721" s="107"/>
      <c r="G721" s="110"/>
      <c r="H721" s="109"/>
      <c r="I721" s="9"/>
      <c r="J721" s="9"/>
      <c r="K721" s="9"/>
      <c r="L721" s="9"/>
      <c r="M721" s="9"/>
      <c r="N721" s="9"/>
      <c r="O721" s="9"/>
      <c r="P721" s="9"/>
      <c r="Q721" s="9"/>
      <c r="R721" s="9"/>
      <c r="S721" s="9"/>
      <c r="T721" s="9"/>
      <c r="U721" s="9"/>
      <c r="V721" s="9"/>
      <c r="W721" s="9"/>
      <c r="X721" s="9"/>
      <c r="Y721" s="9"/>
      <c r="Z721" s="9"/>
      <c r="AA721" s="9"/>
      <c r="AB721" s="9"/>
      <c r="AC721" s="9"/>
    </row>
    <row r="722" ht="15.75" customHeight="1">
      <c r="B722" s="106"/>
      <c r="C722" s="107"/>
      <c r="D722" s="108"/>
      <c r="E722" s="109"/>
      <c r="F722" s="107"/>
      <c r="G722" s="110"/>
      <c r="H722" s="109"/>
      <c r="I722" s="9"/>
      <c r="J722" s="9"/>
      <c r="K722" s="9"/>
      <c r="L722" s="9"/>
      <c r="M722" s="9"/>
      <c r="N722" s="9"/>
      <c r="O722" s="9"/>
      <c r="P722" s="9"/>
      <c r="Q722" s="9"/>
      <c r="R722" s="9"/>
      <c r="S722" s="9"/>
      <c r="T722" s="9"/>
      <c r="U722" s="9"/>
      <c r="V722" s="9"/>
      <c r="W722" s="9"/>
      <c r="X722" s="9"/>
      <c r="Y722" s="9"/>
      <c r="Z722" s="9"/>
      <c r="AA722" s="9"/>
      <c r="AB722" s="9"/>
      <c r="AC722" s="9"/>
    </row>
    <row r="723" ht="15.75" customHeight="1">
      <c r="B723" s="106"/>
      <c r="C723" s="107"/>
      <c r="D723" s="108"/>
      <c r="E723" s="109"/>
      <c r="F723" s="107"/>
      <c r="G723" s="110"/>
      <c r="H723" s="109"/>
      <c r="I723" s="9"/>
      <c r="J723" s="9"/>
      <c r="K723" s="9"/>
      <c r="L723" s="9"/>
      <c r="M723" s="9"/>
      <c r="N723" s="9"/>
      <c r="O723" s="9"/>
      <c r="P723" s="9"/>
      <c r="Q723" s="9"/>
      <c r="R723" s="9"/>
      <c r="S723" s="9"/>
      <c r="T723" s="9"/>
      <c r="U723" s="9"/>
      <c r="V723" s="9"/>
      <c r="W723" s="9"/>
      <c r="X723" s="9"/>
      <c r="Y723" s="9"/>
      <c r="Z723" s="9"/>
      <c r="AA723" s="9"/>
      <c r="AB723" s="9"/>
      <c r="AC723" s="9"/>
    </row>
    <row r="724" ht="15.75" customHeight="1">
      <c r="B724" s="106"/>
      <c r="C724" s="107"/>
      <c r="D724" s="108"/>
      <c r="E724" s="109"/>
      <c r="F724" s="107"/>
      <c r="G724" s="110"/>
      <c r="H724" s="109"/>
      <c r="I724" s="9"/>
      <c r="J724" s="9"/>
      <c r="K724" s="9"/>
      <c r="L724" s="9"/>
      <c r="M724" s="9"/>
      <c r="N724" s="9"/>
      <c r="O724" s="9"/>
      <c r="P724" s="9"/>
      <c r="Q724" s="9"/>
      <c r="R724" s="9"/>
      <c r="S724" s="9"/>
      <c r="T724" s="9"/>
      <c r="U724" s="9"/>
      <c r="V724" s="9"/>
      <c r="W724" s="9"/>
      <c r="X724" s="9"/>
      <c r="Y724" s="9"/>
      <c r="Z724" s="9"/>
      <c r="AA724" s="9"/>
      <c r="AB724" s="9"/>
      <c r="AC724" s="9"/>
    </row>
    <row r="725" ht="15.75" customHeight="1">
      <c r="B725" s="106"/>
      <c r="C725" s="107"/>
      <c r="D725" s="108"/>
      <c r="E725" s="109"/>
      <c r="F725" s="107"/>
      <c r="G725" s="110"/>
      <c r="H725" s="109"/>
      <c r="I725" s="9"/>
      <c r="J725" s="9"/>
      <c r="K725" s="9"/>
      <c r="L725" s="9"/>
      <c r="M725" s="9"/>
      <c r="N725" s="9"/>
      <c r="O725" s="9"/>
      <c r="P725" s="9"/>
      <c r="Q725" s="9"/>
      <c r="R725" s="9"/>
      <c r="S725" s="9"/>
      <c r="T725" s="9"/>
      <c r="U725" s="9"/>
      <c r="V725" s="9"/>
      <c r="W725" s="9"/>
      <c r="X725" s="9"/>
      <c r="Y725" s="9"/>
      <c r="Z725" s="9"/>
      <c r="AA725" s="9"/>
      <c r="AB725" s="9"/>
      <c r="AC725" s="9"/>
    </row>
    <row r="726" ht="15.75" customHeight="1">
      <c r="B726" s="106"/>
      <c r="C726" s="107"/>
      <c r="D726" s="108"/>
      <c r="E726" s="109"/>
      <c r="F726" s="107"/>
      <c r="G726" s="110"/>
      <c r="H726" s="109"/>
      <c r="I726" s="9"/>
      <c r="J726" s="9"/>
      <c r="K726" s="9"/>
      <c r="L726" s="9"/>
      <c r="M726" s="9"/>
      <c r="N726" s="9"/>
      <c r="O726" s="9"/>
      <c r="P726" s="9"/>
      <c r="Q726" s="9"/>
      <c r="R726" s="9"/>
      <c r="S726" s="9"/>
      <c r="T726" s="9"/>
      <c r="U726" s="9"/>
      <c r="V726" s="9"/>
      <c r="W726" s="9"/>
      <c r="X726" s="9"/>
      <c r="Y726" s="9"/>
      <c r="Z726" s="9"/>
      <c r="AA726" s="9"/>
      <c r="AB726" s="9"/>
      <c r="AC726" s="9"/>
    </row>
    <row r="727" ht="15.75" customHeight="1">
      <c r="B727" s="106"/>
      <c r="C727" s="107"/>
      <c r="D727" s="108"/>
      <c r="E727" s="109"/>
      <c r="F727" s="107"/>
      <c r="G727" s="110"/>
      <c r="H727" s="109"/>
      <c r="I727" s="9"/>
      <c r="J727" s="9"/>
      <c r="K727" s="9"/>
      <c r="L727" s="9"/>
      <c r="M727" s="9"/>
      <c r="N727" s="9"/>
      <c r="O727" s="9"/>
      <c r="P727" s="9"/>
      <c r="Q727" s="9"/>
      <c r="R727" s="9"/>
      <c r="S727" s="9"/>
      <c r="T727" s="9"/>
      <c r="U727" s="9"/>
      <c r="V727" s="9"/>
      <c r="W727" s="9"/>
      <c r="X727" s="9"/>
      <c r="Y727" s="9"/>
      <c r="Z727" s="9"/>
      <c r="AA727" s="9"/>
      <c r="AB727" s="9"/>
      <c r="AC727" s="9"/>
    </row>
    <row r="728" ht="15.75" customHeight="1">
      <c r="B728" s="106"/>
      <c r="C728" s="107"/>
      <c r="D728" s="108"/>
      <c r="E728" s="109"/>
      <c r="F728" s="107"/>
      <c r="G728" s="110"/>
      <c r="H728" s="109"/>
      <c r="I728" s="9"/>
      <c r="J728" s="9"/>
      <c r="K728" s="9"/>
      <c r="L728" s="9"/>
      <c r="M728" s="9"/>
      <c r="N728" s="9"/>
      <c r="O728" s="9"/>
      <c r="P728" s="9"/>
      <c r="Q728" s="9"/>
      <c r="R728" s="9"/>
      <c r="S728" s="9"/>
      <c r="T728" s="9"/>
      <c r="U728" s="9"/>
      <c r="V728" s="9"/>
      <c r="W728" s="9"/>
      <c r="X728" s="9"/>
      <c r="Y728" s="9"/>
      <c r="Z728" s="9"/>
      <c r="AA728" s="9"/>
      <c r="AB728" s="9"/>
      <c r="AC728" s="9"/>
    </row>
    <row r="729" ht="15.75" customHeight="1">
      <c r="B729" s="106"/>
      <c r="C729" s="107"/>
      <c r="D729" s="108"/>
      <c r="E729" s="109"/>
      <c r="F729" s="107"/>
      <c r="G729" s="110"/>
      <c r="H729" s="109"/>
      <c r="I729" s="9"/>
      <c r="J729" s="9"/>
      <c r="K729" s="9"/>
      <c r="L729" s="9"/>
      <c r="M729" s="9"/>
      <c r="N729" s="9"/>
      <c r="O729" s="9"/>
      <c r="P729" s="9"/>
      <c r="Q729" s="9"/>
      <c r="R729" s="9"/>
      <c r="S729" s="9"/>
      <c r="T729" s="9"/>
      <c r="U729" s="9"/>
      <c r="V729" s="9"/>
      <c r="W729" s="9"/>
      <c r="X729" s="9"/>
      <c r="Y729" s="9"/>
      <c r="Z729" s="9"/>
      <c r="AA729" s="9"/>
      <c r="AB729" s="9"/>
      <c r="AC729" s="9"/>
    </row>
    <row r="730" ht="15.75" customHeight="1">
      <c r="B730" s="106"/>
      <c r="C730" s="107"/>
      <c r="D730" s="108"/>
      <c r="E730" s="109"/>
      <c r="F730" s="107"/>
      <c r="G730" s="110"/>
      <c r="H730" s="109"/>
      <c r="I730" s="9"/>
      <c r="J730" s="9"/>
      <c r="K730" s="9"/>
      <c r="L730" s="9"/>
      <c r="M730" s="9"/>
      <c r="N730" s="9"/>
      <c r="O730" s="9"/>
      <c r="P730" s="9"/>
      <c r="Q730" s="9"/>
      <c r="R730" s="9"/>
      <c r="S730" s="9"/>
      <c r="T730" s="9"/>
      <c r="U730" s="9"/>
      <c r="V730" s="9"/>
      <c r="W730" s="9"/>
      <c r="X730" s="9"/>
      <c r="Y730" s="9"/>
      <c r="Z730" s="9"/>
      <c r="AA730" s="9"/>
      <c r="AB730" s="9"/>
      <c r="AC730" s="9"/>
    </row>
    <row r="731" ht="15.75" customHeight="1">
      <c r="B731" s="106"/>
      <c r="C731" s="107"/>
      <c r="D731" s="108"/>
      <c r="E731" s="109"/>
      <c r="F731" s="107"/>
      <c r="G731" s="110"/>
      <c r="H731" s="109"/>
      <c r="I731" s="9"/>
      <c r="J731" s="9"/>
      <c r="K731" s="9"/>
      <c r="L731" s="9"/>
      <c r="M731" s="9"/>
      <c r="N731" s="9"/>
      <c r="O731" s="9"/>
      <c r="P731" s="9"/>
      <c r="Q731" s="9"/>
      <c r="R731" s="9"/>
      <c r="S731" s="9"/>
      <c r="T731" s="9"/>
      <c r="U731" s="9"/>
      <c r="V731" s="9"/>
      <c r="W731" s="9"/>
      <c r="X731" s="9"/>
      <c r="Y731" s="9"/>
      <c r="Z731" s="9"/>
      <c r="AA731" s="9"/>
      <c r="AB731" s="9"/>
      <c r="AC731" s="9"/>
    </row>
    <row r="732" ht="15.75" customHeight="1">
      <c r="B732" s="106"/>
      <c r="C732" s="107"/>
      <c r="D732" s="108"/>
      <c r="E732" s="109"/>
      <c r="F732" s="107"/>
      <c r="G732" s="110"/>
      <c r="H732" s="109"/>
      <c r="I732" s="9"/>
      <c r="J732" s="9"/>
      <c r="K732" s="9"/>
      <c r="L732" s="9"/>
      <c r="M732" s="9"/>
      <c r="N732" s="9"/>
      <c r="O732" s="9"/>
      <c r="P732" s="9"/>
      <c r="Q732" s="9"/>
      <c r="R732" s="9"/>
      <c r="S732" s="9"/>
      <c r="T732" s="9"/>
      <c r="U732" s="9"/>
      <c r="V732" s="9"/>
      <c r="W732" s="9"/>
      <c r="X732" s="9"/>
      <c r="Y732" s="9"/>
      <c r="Z732" s="9"/>
      <c r="AA732" s="9"/>
      <c r="AB732" s="9"/>
      <c r="AC732" s="9"/>
    </row>
    <row r="733" ht="15.75" customHeight="1">
      <c r="B733" s="106"/>
      <c r="C733" s="107"/>
      <c r="D733" s="108"/>
      <c r="E733" s="109"/>
      <c r="F733" s="107"/>
      <c r="G733" s="110"/>
      <c r="H733" s="109"/>
      <c r="I733" s="9"/>
      <c r="J733" s="9"/>
      <c r="K733" s="9"/>
      <c r="L733" s="9"/>
      <c r="M733" s="9"/>
      <c r="N733" s="9"/>
      <c r="O733" s="9"/>
      <c r="P733" s="9"/>
      <c r="Q733" s="9"/>
      <c r="R733" s="9"/>
      <c r="S733" s="9"/>
      <c r="T733" s="9"/>
      <c r="U733" s="9"/>
      <c r="V733" s="9"/>
      <c r="W733" s="9"/>
      <c r="X733" s="9"/>
      <c r="Y733" s="9"/>
      <c r="Z733" s="9"/>
      <c r="AA733" s="9"/>
      <c r="AB733" s="9"/>
      <c r="AC733" s="9"/>
    </row>
    <row r="734" ht="15.75" customHeight="1">
      <c r="B734" s="106"/>
      <c r="C734" s="107"/>
      <c r="D734" s="108"/>
      <c r="E734" s="109"/>
      <c r="F734" s="107"/>
      <c r="G734" s="110"/>
      <c r="H734" s="109"/>
      <c r="I734" s="9"/>
      <c r="J734" s="9"/>
      <c r="K734" s="9"/>
      <c r="L734" s="9"/>
      <c r="M734" s="9"/>
      <c r="N734" s="9"/>
      <c r="O734" s="9"/>
      <c r="P734" s="9"/>
      <c r="Q734" s="9"/>
      <c r="R734" s="9"/>
      <c r="S734" s="9"/>
      <c r="T734" s="9"/>
      <c r="U734" s="9"/>
      <c r="V734" s="9"/>
      <c r="W734" s="9"/>
      <c r="X734" s="9"/>
      <c r="Y734" s="9"/>
      <c r="Z734" s="9"/>
      <c r="AA734" s="9"/>
      <c r="AB734" s="9"/>
      <c r="AC734" s="9"/>
    </row>
    <row r="735" ht="15.75" customHeight="1">
      <c r="B735" s="106"/>
      <c r="C735" s="107"/>
      <c r="D735" s="108"/>
      <c r="E735" s="109"/>
      <c r="F735" s="107"/>
      <c r="G735" s="110"/>
      <c r="H735" s="109"/>
      <c r="I735" s="9"/>
      <c r="J735" s="9"/>
      <c r="K735" s="9"/>
      <c r="L735" s="9"/>
      <c r="M735" s="9"/>
      <c r="N735" s="9"/>
      <c r="O735" s="9"/>
      <c r="P735" s="9"/>
      <c r="Q735" s="9"/>
      <c r="R735" s="9"/>
      <c r="S735" s="9"/>
      <c r="T735" s="9"/>
      <c r="U735" s="9"/>
      <c r="V735" s="9"/>
      <c r="W735" s="9"/>
      <c r="X735" s="9"/>
      <c r="Y735" s="9"/>
      <c r="Z735" s="9"/>
      <c r="AA735" s="9"/>
      <c r="AB735" s="9"/>
      <c r="AC735" s="9"/>
    </row>
    <row r="736" ht="15.75" customHeight="1">
      <c r="B736" s="106"/>
      <c r="C736" s="107"/>
      <c r="D736" s="108"/>
      <c r="E736" s="109"/>
      <c r="F736" s="107"/>
      <c r="G736" s="110"/>
      <c r="H736" s="109"/>
      <c r="I736" s="9"/>
      <c r="J736" s="9"/>
      <c r="K736" s="9"/>
      <c r="L736" s="9"/>
      <c r="M736" s="9"/>
      <c r="N736" s="9"/>
      <c r="O736" s="9"/>
      <c r="P736" s="9"/>
      <c r="Q736" s="9"/>
      <c r="R736" s="9"/>
      <c r="S736" s="9"/>
      <c r="T736" s="9"/>
      <c r="U736" s="9"/>
      <c r="V736" s="9"/>
      <c r="W736" s="9"/>
      <c r="X736" s="9"/>
      <c r="Y736" s="9"/>
      <c r="Z736" s="9"/>
      <c r="AA736" s="9"/>
      <c r="AB736" s="9"/>
      <c r="AC736" s="9"/>
    </row>
    <row r="737" ht="15.75" customHeight="1">
      <c r="B737" s="106"/>
      <c r="C737" s="107"/>
      <c r="D737" s="108"/>
      <c r="E737" s="109"/>
      <c r="F737" s="107"/>
      <c r="G737" s="110"/>
      <c r="H737" s="109"/>
      <c r="I737" s="9"/>
      <c r="J737" s="9"/>
      <c r="K737" s="9"/>
      <c r="L737" s="9"/>
      <c r="M737" s="9"/>
      <c r="N737" s="9"/>
      <c r="O737" s="9"/>
      <c r="P737" s="9"/>
      <c r="Q737" s="9"/>
      <c r="R737" s="9"/>
      <c r="S737" s="9"/>
      <c r="T737" s="9"/>
      <c r="U737" s="9"/>
      <c r="V737" s="9"/>
      <c r="W737" s="9"/>
      <c r="X737" s="9"/>
      <c r="Y737" s="9"/>
      <c r="Z737" s="9"/>
      <c r="AA737" s="9"/>
      <c r="AB737" s="9"/>
      <c r="AC737" s="9"/>
    </row>
    <row r="738" ht="15.75" customHeight="1">
      <c r="B738" s="106"/>
      <c r="C738" s="107"/>
      <c r="D738" s="108"/>
      <c r="E738" s="109"/>
      <c r="F738" s="107"/>
      <c r="G738" s="110"/>
      <c r="H738" s="109"/>
      <c r="I738" s="9"/>
      <c r="J738" s="9"/>
      <c r="K738" s="9"/>
      <c r="L738" s="9"/>
      <c r="M738" s="9"/>
      <c r="N738" s="9"/>
      <c r="O738" s="9"/>
      <c r="P738" s="9"/>
      <c r="Q738" s="9"/>
      <c r="R738" s="9"/>
      <c r="S738" s="9"/>
      <c r="T738" s="9"/>
      <c r="U738" s="9"/>
      <c r="V738" s="9"/>
      <c r="W738" s="9"/>
      <c r="X738" s="9"/>
      <c r="Y738" s="9"/>
      <c r="Z738" s="9"/>
      <c r="AA738" s="9"/>
      <c r="AB738" s="9"/>
      <c r="AC738" s="9"/>
    </row>
    <row r="739" ht="15.75" customHeight="1">
      <c r="B739" s="106"/>
      <c r="C739" s="107"/>
      <c r="D739" s="108"/>
      <c r="E739" s="109"/>
      <c r="F739" s="107"/>
      <c r="G739" s="110"/>
      <c r="H739" s="109"/>
      <c r="I739" s="9"/>
      <c r="J739" s="9"/>
      <c r="K739" s="9"/>
      <c r="L739" s="9"/>
      <c r="M739" s="9"/>
      <c r="N739" s="9"/>
      <c r="O739" s="9"/>
      <c r="P739" s="9"/>
      <c r="Q739" s="9"/>
      <c r="R739" s="9"/>
      <c r="S739" s="9"/>
      <c r="T739" s="9"/>
      <c r="U739" s="9"/>
      <c r="V739" s="9"/>
      <c r="W739" s="9"/>
      <c r="X739" s="9"/>
      <c r="Y739" s="9"/>
      <c r="Z739" s="9"/>
      <c r="AA739" s="9"/>
      <c r="AB739" s="9"/>
      <c r="AC739" s="9"/>
    </row>
    <row r="740" ht="15.75" customHeight="1">
      <c r="B740" s="106"/>
      <c r="C740" s="107"/>
      <c r="D740" s="108"/>
      <c r="E740" s="109"/>
      <c r="F740" s="107"/>
      <c r="G740" s="110"/>
      <c r="H740" s="109"/>
      <c r="I740" s="9"/>
      <c r="J740" s="9"/>
      <c r="K740" s="9"/>
      <c r="L740" s="9"/>
      <c r="M740" s="9"/>
      <c r="N740" s="9"/>
      <c r="O740" s="9"/>
      <c r="P740" s="9"/>
      <c r="Q740" s="9"/>
      <c r="R740" s="9"/>
      <c r="S740" s="9"/>
      <c r="T740" s="9"/>
      <c r="U740" s="9"/>
      <c r="V740" s="9"/>
      <c r="W740" s="9"/>
      <c r="X740" s="9"/>
      <c r="Y740" s="9"/>
      <c r="Z740" s="9"/>
      <c r="AA740" s="9"/>
      <c r="AB740" s="9"/>
      <c r="AC740" s="9"/>
    </row>
    <row r="741" ht="15.75" customHeight="1">
      <c r="B741" s="106"/>
      <c r="C741" s="107"/>
      <c r="D741" s="108"/>
      <c r="E741" s="109"/>
      <c r="F741" s="107"/>
      <c r="G741" s="110"/>
      <c r="H741" s="109"/>
      <c r="I741" s="9"/>
      <c r="J741" s="9"/>
      <c r="K741" s="9"/>
      <c r="L741" s="9"/>
      <c r="M741" s="9"/>
      <c r="N741" s="9"/>
      <c r="O741" s="9"/>
      <c r="P741" s="9"/>
      <c r="Q741" s="9"/>
      <c r="R741" s="9"/>
      <c r="S741" s="9"/>
      <c r="T741" s="9"/>
      <c r="U741" s="9"/>
      <c r="V741" s="9"/>
      <c r="W741" s="9"/>
      <c r="X741" s="9"/>
      <c r="Y741" s="9"/>
      <c r="Z741" s="9"/>
      <c r="AA741" s="9"/>
      <c r="AB741" s="9"/>
      <c r="AC741" s="9"/>
    </row>
    <row r="742" ht="15.75" customHeight="1">
      <c r="B742" s="106"/>
      <c r="C742" s="107"/>
      <c r="D742" s="108"/>
      <c r="E742" s="109"/>
      <c r="F742" s="107"/>
      <c r="G742" s="110"/>
      <c r="H742" s="109"/>
      <c r="I742" s="9"/>
      <c r="J742" s="9"/>
      <c r="K742" s="9"/>
      <c r="L742" s="9"/>
      <c r="M742" s="9"/>
      <c r="N742" s="9"/>
      <c r="O742" s="9"/>
      <c r="P742" s="9"/>
      <c r="Q742" s="9"/>
      <c r="R742" s="9"/>
      <c r="S742" s="9"/>
      <c r="T742" s="9"/>
      <c r="U742" s="9"/>
      <c r="V742" s="9"/>
      <c r="W742" s="9"/>
      <c r="X742" s="9"/>
      <c r="Y742" s="9"/>
      <c r="Z742" s="9"/>
      <c r="AA742" s="9"/>
      <c r="AB742" s="9"/>
      <c r="AC742" s="9"/>
    </row>
    <row r="743" ht="15.75" customHeight="1">
      <c r="B743" s="106"/>
      <c r="C743" s="107"/>
      <c r="D743" s="108"/>
      <c r="E743" s="109"/>
      <c r="F743" s="107"/>
      <c r="G743" s="110"/>
      <c r="H743" s="109"/>
      <c r="I743" s="9"/>
      <c r="J743" s="9"/>
      <c r="K743" s="9"/>
      <c r="L743" s="9"/>
      <c r="M743" s="9"/>
      <c r="N743" s="9"/>
      <c r="O743" s="9"/>
      <c r="P743" s="9"/>
      <c r="Q743" s="9"/>
      <c r="R743" s="9"/>
      <c r="S743" s="9"/>
      <c r="T743" s="9"/>
      <c r="U743" s="9"/>
      <c r="V743" s="9"/>
      <c r="W743" s="9"/>
      <c r="X743" s="9"/>
      <c r="Y743" s="9"/>
      <c r="Z743" s="9"/>
      <c r="AA743" s="9"/>
      <c r="AB743" s="9"/>
      <c r="AC743" s="9"/>
    </row>
    <row r="744" ht="15.75" customHeight="1">
      <c r="B744" s="106"/>
      <c r="C744" s="107"/>
      <c r="D744" s="108"/>
      <c r="E744" s="109"/>
      <c r="F744" s="107"/>
      <c r="G744" s="110"/>
      <c r="H744" s="109"/>
      <c r="I744" s="9"/>
      <c r="J744" s="9"/>
      <c r="K744" s="9"/>
      <c r="L744" s="9"/>
      <c r="M744" s="9"/>
      <c r="N744" s="9"/>
      <c r="O744" s="9"/>
      <c r="P744" s="9"/>
      <c r="Q744" s="9"/>
      <c r="R744" s="9"/>
      <c r="S744" s="9"/>
      <c r="T744" s="9"/>
      <c r="U744" s="9"/>
      <c r="V744" s="9"/>
      <c r="W744" s="9"/>
      <c r="X744" s="9"/>
      <c r="Y744" s="9"/>
      <c r="Z744" s="9"/>
      <c r="AA744" s="9"/>
      <c r="AB744" s="9"/>
      <c r="AC744" s="9"/>
    </row>
    <row r="745" ht="15.75" customHeight="1">
      <c r="B745" s="106"/>
      <c r="C745" s="107"/>
      <c r="D745" s="108"/>
      <c r="E745" s="109"/>
      <c r="F745" s="107"/>
      <c r="G745" s="110"/>
      <c r="H745" s="109"/>
      <c r="I745" s="9"/>
      <c r="J745" s="9"/>
      <c r="K745" s="9"/>
      <c r="L745" s="9"/>
      <c r="M745" s="9"/>
      <c r="N745" s="9"/>
      <c r="O745" s="9"/>
      <c r="P745" s="9"/>
      <c r="Q745" s="9"/>
      <c r="R745" s="9"/>
      <c r="S745" s="9"/>
      <c r="T745" s="9"/>
      <c r="U745" s="9"/>
      <c r="V745" s="9"/>
      <c r="W745" s="9"/>
      <c r="X745" s="9"/>
      <c r="Y745" s="9"/>
      <c r="Z745" s="9"/>
      <c r="AA745" s="9"/>
      <c r="AB745" s="9"/>
      <c r="AC745" s="9"/>
    </row>
    <row r="746" ht="15.75" customHeight="1">
      <c r="B746" s="106"/>
      <c r="C746" s="107"/>
      <c r="D746" s="108"/>
      <c r="E746" s="109"/>
      <c r="F746" s="107"/>
      <c r="G746" s="110"/>
      <c r="H746" s="109"/>
      <c r="I746" s="9"/>
      <c r="J746" s="9"/>
      <c r="K746" s="9"/>
      <c r="L746" s="9"/>
      <c r="M746" s="9"/>
      <c r="N746" s="9"/>
      <c r="O746" s="9"/>
      <c r="P746" s="9"/>
      <c r="Q746" s="9"/>
      <c r="R746" s="9"/>
      <c r="S746" s="9"/>
      <c r="T746" s="9"/>
      <c r="U746" s="9"/>
      <c r="V746" s="9"/>
      <c r="W746" s="9"/>
      <c r="X746" s="9"/>
      <c r="Y746" s="9"/>
      <c r="Z746" s="9"/>
      <c r="AA746" s="9"/>
      <c r="AB746" s="9"/>
      <c r="AC746" s="9"/>
    </row>
    <row r="747" ht="15.75" customHeight="1">
      <c r="B747" s="106"/>
      <c r="C747" s="107"/>
      <c r="D747" s="108"/>
      <c r="E747" s="109"/>
      <c r="F747" s="107"/>
      <c r="G747" s="110"/>
      <c r="H747" s="109"/>
      <c r="I747" s="9"/>
      <c r="J747" s="9"/>
      <c r="K747" s="9"/>
      <c r="L747" s="9"/>
      <c r="M747" s="9"/>
      <c r="N747" s="9"/>
      <c r="O747" s="9"/>
      <c r="P747" s="9"/>
      <c r="Q747" s="9"/>
      <c r="R747" s="9"/>
      <c r="S747" s="9"/>
      <c r="T747" s="9"/>
      <c r="U747" s="9"/>
      <c r="V747" s="9"/>
      <c r="W747" s="9"/>
      <c r="X747" s="9"/>
      <c r="Y747" s="9"/>
      <c r="Z747" s="9"/>
      <c r="AA747" s="9"/>
      <c r="AB747" s="9"/>
      <c r="AC747" s="9"/>
    </row>
    <row r="748" ht="15.75" customHeight="1">
      <c r="B748" s="106"/>
      <c r="C748" s="107"/>
      <c r="D748" s="108"/>
      <c r="E748" s="109"/>
      <c r="F748" s="107"/>
      <c r="G748" s="110"/>
      <c r="H748" s="109"/>
      <c r="I748" s="9"/>
      <c r="J748" s="9"/>
      <c r="K748" s="9"/>
      <c r="L748" s="9"/>
      <c r="M748" s="9"/>
      <c r="N748" s="9"/>
      <c r="O748" s="9"/>
      <c r="P748" s="9"/>
      <c r="Q748" s="9"/>
      <c r="R748" s="9"/>
      <c r="S748" s="9"/>
      <c r="T748" s="9"/>
      <c r="U748" s="9"/>
      <c r="V748" s="9"/>
      <c r="W748" s="9"/>
      <c r="X748" s="9"/>
      <c r="Y748" s="9"/>
      <c r="Z748" s="9"/>
      <c r="AA748" s="9"/>
      <c r="AB748" s="9"/>
      <c r="AC748" s="9"/>
    </row>
    <row r="749" ht="15.75" customHeight="1">
      <c r="B749" s="106"/>
      <c r="C749" s="107"/>
      <c r="D749" s="108"/>
      <c r="E749" s="109"/>
      <c r="F749" s="107"/>
      <c r="G749" s="110"/>
      <c r="H749" s="109"/>
      <c r="I749" s="9"/>
      <c r="J749" s="9"/>
      <c r="K749" s="9"/>
      <c r="L749" s="9"/>
      <c r="M749" s="9"/>
      <c r="N749" s="9"/>
      <c r="O749" s="9"/>
      <c r="P749" s="9"/>
      <c r="Q749" s="9"/>
      <c r="R749" s="9"/>
      <c r="S749" s="9"/>
      <c r="T749" s="9"/>
      <c r="U749" s="9"/>
      <c r="V749" s="9"/>
      <c r="W749" s="9"/>
      <c r="X749" s="9"/>
      <c r="Y749" s="9"/>
      <c r="Z749" s="9"/>
      <c r="AA749" s="9"/>
      <c r="AB749" s="9"/>
      <c r="AC749" s="9"/>
    </row>
    <row r="750" ht="15.75" customHeight="1">
      <c r="B750" s="106"/>
      <c r="C750" s="107"/>
      <c r="D750" s="108"/>
      <c r="E750" s="109"/>
      <c r="F750" s="107"/>
      <c r="G750" s="110"/>
      <c r="H750" s="109"/>
      <c r="I750" s="9"/>
      <c r="J750" s="9"/>
      <c r="K750" s="9"/>
      <c r="L750" s="9"/>
      <c r="M750" s="9"/>
      <c r="N750" s="9"/>
      <c r="O750" s="9"/>
      <c r="P750" s="9"/>
      <c r="Q750" s="9"/>
      <c r="R750" s="9"/>
      <c r="S750" s="9"/>
      <c r="T750" s="9"/>
      <c r="U750" s="9"/>
      <c r="V750" s="9"/>
      <c r="W750" s="9"/>
      <c r="X750" s="9"/>
      <c r="Y750" s="9"/>
      <c r="Z750" s="9"/>
      <c r="AA750" s="9"/>
      <c r="AB750" s="9"/>
      <c r="AC750" s="9"/>
    </row>
    <row r="751" ht="15.75" customHeight="1">
      <c r="B751" s="106"/>
      <c r="C751" s="107"/>
      <c r="D751" s="108"/>
      <c r="E751" s="109"/>
      <c r="F751" s="107"/>
      <c r="G751" s="110"/>
      <c r="H751" s="109"/>
      <c r="I751" s="9"/>
      <c r="J751" s="9"/>
      <c r="K751" s="9"/>
      <c r="L751" s="9"/>
      <c r="M751" s="9"/>
      <c r="N751" s="9"/>
      <c r="O751" s="9"/>
      <c r="P751" s="9"/>
      <c r="Q751" s="9"/>
      <c r="R751" s="9"/>
      <c r="S751" s="9"/>
      <c r="T751" s="9"/>
      <c r="U751" s="9"/>
      <c r="V751" s="9"/>
      <c r="W751" s="9"/>
      <c r="X751" s="9"/>
      <c r="Y751" s="9"/>
      <c r="Z751" s="9"/>
      <c r="AA751" s="9"/>
      <c r="AB751" s="9"/>
      <c r="AC751" s="9"/>
    </row>
    <row r="752" ht="15.75" customHeight="1">
      <c r="B752" s="106"/>
      <c r="C752" s="107"/>
      <c r="D752" s="108"/>
      <c r="E752" s="109"/>
      <c r="F752" s="107"/>
      <c r="G752" s="110"/>
      <c r="H752" s="109"/>
      <c r="I752" s="9"/>
      <c r="J752" s="9"/>
      <c r="K752" s="9"/>
      <c r="L752" s="9"/>
      <c r="M752" s="9"/>
      <c r="N752" s="9"/>
      <c r="O752" s="9"/>
      <c r="P752" s="9"/>
      <c r="Q752" s="9"/>
      <c r="R752" s="9"/>
      <c r="S752" s="9"/>
      <c r="T752" s="9"/>
      <c r="U752" s="9"/>
      <c r="V752" s="9"/>
      <c r="W752" s="9"/>
      <c r="X752" s="9"/>
      <c r="Y752" s="9"/>
      <c r="Z752" s="9"/>
      <c r="AA752" s="9"/>
      <c r="AB752" s="9"/>
      <c r="AC752" s="9"/>
    </row>
    <row r="753" ht="15.75" customHeight="1">
      <c r="B753" s="106"/>
      <c r="C753" s="107"/>
      <c r="D753" s="108"/>
      <c r="E753" s="109"/>
      <c r="F753" s="107"/>
      <c r="G753" s="110"/>
      <c r="H753" s="109"/>
      <c r="I753" s="9"/>
      <c r="J753" s="9"/>
      <c r="K753" s="9"/>
      <c r="L753" s="9"/>
      <c r="M753" s="9"/>
      <c r="N753" s="9"/>
      <c r="O753" s="9"/>
      <c r="P753" s="9"/>
      <c r="Q753" s="9"/>
      <c r="R753" s="9"/>
      <c r="S753" s="9"/>
      <c r="T753" s="9"/>
      <c r="U753" s="9"/>
      <c r="V753" s="9"/>
      <c r="W753" s="9"/>
      <c r="X753" s="9"/>
      <c r="Y753" s="9"/>
      <c r="Z753" s="9"/>
      <c r="AA753" s="9"/>
      <c r="AB753" s="9"/>
      <c r="AC753" s="9"/>
    </row>
    <row r="754" ht="15.75" customHeight="1">
      <c r="B754" s="106"/>
      <c r="C754" s="107"/>
      <c r="D754" s="108"/>
      <c r="E754" s="109"/>
      <c r="F754" s="107"/>
      <c r="G754" s="110"/>
      <c r="H754" s="109"/>
      <c r="I754" s="9"/>
      <c r="J754" s="9"/>
      <c r="K754" s="9"/>
      <c r="L754" s="9"/>
      <c r="M754" s="9"/>
      <c r="N754" s="9"/>
      <c r="O754" s="9"/>
      <c r="P754" s="9"/>
      <c r="Q754" s="9"/>
      <c r="R754" s="9"/>
      <c r="S754" s="9"/>
      <c r="T754" s="9"/>
      <c r="U754" s="9"/>
      <c r="V754" s="9"/>
      <c r="W754" s="9"/>
      <c r="X754" s="9"/>
      <c r="Y754" s="9"/>
      <c r="Z754" s="9"/>
      <c r="AA754" s="9"/>
      <c r="AB754" s="9"/>
      <c r="AC754" s="9"/>
    </row>
    <row r="755" ht="15.75" customHeight="1">
      <c r="B755" s="106"/>
      <c r="C755" s="107"/>
      <c r="D755" s="108"/>
      <c r="E755" s="109"/>
      <c r="F755" s="107"/>
      <c r="G755" s="110"/>
      <c r="H755" s="109"/>
      <c r="I755" s="9"/>
      <c r="J755" s="9"/>
      <c r="K755" s="9"/>
      <c r="L755" s="9"/>
      <c r="M755" s="9"/>
      <c r="N755" s="9"/>
      <c r="O755" s="9"/>
      <c r="P755" s="9"/>
      <c r="Q755" s="9"/>
      <c r="R755" s="9"/>
      <c r="S755" s="9"/>
      <c r="T755" s="9"/>
      <c r="U755" s="9"/>
      <c r="V755" s="9"/>
      <c r="W755" s="9"/>
      <c r="X755" s="9"/>
      <c r="Y755" s="9"/>
      <c r="Z755" s="9"/>
      <c r="AA755" s="9"/>
      <c r="AB755" s="9"/>
      <c r="AC755" s="9"/>
    </row>
    <row r="756" ht="15.75" customHeight="1">
      <c r="B756" s="106"/>
      <c r="C756" s="107"/>
      <c r="D756" s="108"/>
      <c r="E756" s="109"/>
      <c r="F756" s="107"/>
      <c r="G756" s="110"/>
      <c r="H756" s="109"/>
      <c r="I756" s="9"/>
      <c r="J756" s="9"/>
      <c r="K756" s="9"/>
      <c r="L756" s="9"/>
      <c r="M756" s="9"/>
      <c r="N756" s="9"/>
      <c r="O756" s="9"/>
      <c r="P756" s="9"/>
      <c r="Q756" s="9"/>
      <c r="R756" s="9"/>
      <c r="S756" s="9"/>
      <c r="T756" s="9"/>
      <c r="U756" s="9"/>
      <c r="V756" s="9"/>
      <c r="W756" s="9"/>
      <c r="X756" s="9"/>
      <c r="Y756" s="9"/>
      <c r="Z756" s="9"/>
      <c r="AA756" s="9"/>
      <c r="AB756" s="9"/>
      <c r="AC756" s="9"/>
    </row>
    <row r="757" ht="15.75" customHeight="1">
      <c r="B757" s="106"/>
      <c r="C757" s="107"/>
      <c r="D757" s="108"/>
      <c r="E757" s="109"/>
      <c r="F757" s="107"/>
      <c r="G757" s="110"/>
      <c r="H757" s="109"/>
      <c r="I757" s="9"/>
      <c r="J757" s="9"/>
      <c r="K757" s="9"/>
      <c r="L757" s="9"/>
      <c r="M757" s="9"/>
      <c r="N757" s="9"/>
      <c r="O757" s="9"/>
      <c r="P757" s="9"/>
      <c r="Q757" s="9"/>
      <c r="R757" s="9"/>
      <c r="S757" s="9"/>
      <c r="T757" s="9"/>
      <c r="U757" s="9"/>
      <c r="V757" s="9"/>
      <c r="W757" s="9"/>
      <c r="X757" s="9"/>
      <c r="Y757" s="9"/>
      <c r="Z757" s="9"/>
      <c r="AA757" s="9"/>
      <c r="AB757" s="9"/>
      <c r="AC757" s="9"/>
    </row>
    <row r="758" ht="15.75" customHeight="1">
      <c r="B758" s="106"/>
      <c r="C758" s="107"/>
      <c r="D758" s="108"/>
      <c r="E758" s="109"/>
      <c r="F758" s="107"/>
      <c r="G758" s="110"/>
      <c r="H758" s="109"/>
      <c r="I758" s="9"/>
      <c r="J758" s="9"/>
      <c r="K758" s="9"/>
      <c r="L758" s="9"/>
      <c r="M758" s="9"/>
      <c r="N758" s="9"/>
      <c r="O758" s="9"/>
      <c r="P758" s="9"/>
      <c r="Q758" s="9"/>
      <c r="R758" s="9"/>
      <c r="S758" s="9"/>
      <c r="T758" s="9"/>
      <c r="U758" s="9"/>
      <c r="V758" s="9"/>
      <c r="W758" s="9"/>
      <c r="X758" s="9"/>
      <c r="Y758" s="9"/>
      <c r="Z758" s="9"/>
      <c r="AA758" s="9"/>
      <c r="AB758" s="9"/>
      <c r="AC758" s="9"/>
    </row>
    <row r="759" ht="15.75" customHeight="1">
      <c r="B759" s="106"/>
      <c r="C759" s="107"/>
      <c r="D759" s="108"/>
      <c r="E759" s="109"/>
      <c r="F759" s="107"/>
      <c r="G759" s="110"/>
      <c r="H759" s="109"/>
      <c r="I759" s="9"/>
      <c r="J759" s="9"/>
      <c r="K759" s="9"/>
      <c r="L759" s="9"/>
      <c r="M759" s="9"/>
      <c r="N759" s="9"/>
      <c r="O759" s="9"/>
      <c r="P759" s="9"/>
      <c r="Q759" s="9"/>
      <c r="R759" s="9"/>
      <c r="S759" s="9"/>
      <c r="T759" s="9"/>
      <c r="U759" s="9"/>
      <c r="V759" s="9"/>
      <c r="W759" s="9"/>
      <c r="X759" s="9"/>
      <c r="Y759" s="9"/>
      <c r="Z759" s="9"/>
      <c r="AA759" s="9"/>
      <c r="AB759" s="9"/>
      <c r="AC759" s="9"/>
    </row>
    <row r="760" ht="15.75" customHeight="1">
      <c r="B760" s="106"/>
      <c r="C760" s="107"/>
      <c r="D760" s="108"/>
      <c r="E760" s="109"/>
      <c r="F760" s="107"/>
      <c r="G760" s="110"/>
      <c r="H760" s="109"/>
      <c r="I760" s="9"/>
      <c r="J760" s="9"/>
      <c r="K760" s="9"/>
      <c r="L760" s="9"/>
      <c r="M760" s="9"/>
      <c r="N760" s="9"/>
      <c r="O760" s="9"/>
      <c r="P760" s="9"/>
      <c r="Q760" s="9"/>
      <c r="R760" s="9"/>
      <c r="S760" s="9"/>
      <c r="T760" s="9"/>
      <c r="U760" s="9"/>
      <c r="V760" s="9"/>
      <c r="W760" s="9"/>
      <c r="X760" s="9"/>
      <c r="Y760" s="9"/>
      <c r="Z760" s="9"/>
      <c r="AA760" s="9"/>
      <c r="AB760" s="9"/>
      <c r="AC760" s="9"/>
    </row>
    <row r="761" ht="15.75" customHeight="1">
      <c r="B761" s="106"/>
      <c r="C761" s="107"/>
      <c r="D761" s="108"/>
      <c r="E761" s="109"/>
      <c r="F761" s="107"/>
      <c r="G761" s="110"/>
      <c r="H761" s="109"/>
      <c r="I761" s="9"/>
      <c r="J761" s="9"/>
      <c r="K761" s="9"/>
      <c r="L761" s="9"/>
      <c r="M761" s="9"/>
      <c r="N761" s="9"/>
      <c r="O761" s="9"/>
      <c r="P761" s="9"/>
      <c r="Q761" s="9"/>
      <c r="R761" s="9"/>
      <c r="S761" s="9"/>
      <c r="T761" s="9"/>
      <c r="U761" s="9"/>
      <c r="V761" s="9"/>
      <c r="W761" s="9"/>
      <c r="X761" s="9"/>
      <c r="Y761" s="9"/>
      <c r="Z761" s="9"/>
      <c r="AA761" s="9"/>
      <c r="AB761" s="9"/>
      <c r="AC761" s="9"/>
    </row>
    <row r="762" ht="15.75" customHeight="1">
      <c r="B762" s="106"/>
      <c r="C762" s="107"/>
      <c r="D762" s="108"/>
      <c r="E762" s="109"/>
      <c r="F762" s="107"/>
      <c r="G762" s="110"/>
      <c r="H762" s="109"/>
      <c r="I762" s="9"/>
      <c r="J762" s="9"/>
      <c r="K762" s="9"/>
      <c r="L762" s="9"/>
      <c r="M762" s="9"/>
      <c r="N762" s="9"/>
      <c r="O762" s="9"/>
      <c r="P762" s="9"/>
      <c r="Q762" s="9"/>
      <c r="R762" s="9"/>
      <c r="S762" s="9"/>
      <c r="T762" s="9"/>
      <c r="U762" s="9"/>
      <c r="V762" s="9"/>
      <c r="W762" s="9"/>
      <c r="X762" s="9"/>
      <c r="Y762" s="9"/>
      <c r="Z762" s="9"/>
      <c r="AA762" s="9"/>
      <c r="AB762" s="9"/>
      <c r="AC762" s="9"/>
    </row>
    <row r="763" ht="15.75" customHeight="1">
      <c r="B763" s="106"/>
      <c r="C763" s="107"/>
      <c r="D763" s="108"/>
      <c r="E763" s="109"/>
      <c r="F763" s="107"/>
      <c r="G763" s="110"/>
      <c r="H763" s="109"/>
      <c r="I763" s="9"/>
      <c r="J763" s="9"/>
      <c r="K763" s="9"/>
      <c r="L763" s="9"/>
      <c r="M763" s="9"/>
      <c r="N763" s="9"/>
      <c r="O763" s="9"/>
      <c r="P763" s="9"/>
      <c r="Q763" s="9"/>
      <c r="R763" s="9"/>
      <c r="S763" s="9"/>
      <c r="T763" s="9"/>
      <c r="U763" s="9"/>
      <c r="V763" s="9"/>
      <c r="W763" s="9"/>
      <c r="X763" s="9"/>
      <c r="Y763" s="9"/>
      <c r="Z763" s="9"/>
      <c r="AA763" s="9"/>
      <c r="AB763" s="9"/>
      <c r="AC763" s="9"/>
    </row>
    <row r="764" ht="15.75" customHeight="1">
      <c r="B764" s="106"/>
      <c r="C764" s="107"/>
      <c r="D764" s="108"/>
      <c r="E764" s="109"/>
      <c r="F764" s="107"/>
      <c r="G764" s="110"/>
      <c r="H764" s="109"/>
      <c r="I764" s="9"/>
      <c r="J764" s="9"/>
      <c r="K764" s="9"/>
      <c r="L764" s="9"/>
      <c r="M764" s="9"/>
      <c r="N764" s="9"/>
      <c r="O764" s="9"/>
      <c r="P764" s="9"/>
      <c r="Q764" s="9"/>
      <c r="R764" s="9"/>
      <c r="S764" s="9"/>
      <c r="T764" s="9"/>
      <c r="U764" s="9"/>
      <c r="V764" s="9"/>
      <c r="W764" s="9"/>
      <c r="X764" s="9"/>
      <c r="Y764" s="9"/>
      <c r="Z764" s="9"/>
      <c r="AA764" s="9"/>
      <c r="AB764" s="9"/>
      <c r="AC764" s="9"/>
    </row>
    <row r="765" ht="15.75" customHeight="1">
      <c r="B765" s="106"/>
      <c r="C765" s="107"/>
      <c r="D765" s="108"/>
      <c r="E765" s="109"/>
      <c r="F765" s="107"/>
      <c r="G765" s="110"/>
      <c r="H765" s="109"/>
      <c r="I765" s="9"/>
      <c r="J765" s="9"/>
      <c r="K765" s="9"/>
      <c r="L765" s="9"/>
      <c r="M765" s="9"/>
      <c r="N765" s="9"/>
      <c r="O765" s="9"/>
      <c r="P765" s="9"/>
      <c r="Q765" s="9"/>
      <c r="R765" s="9"/>
      <c r="S765" s="9"/>
      <c r="T765" s="9"/>
      <c r="U765" s="9"/>
      <c r="V765" s="9"/>
      <c r="W765" s="9"/>
      <c r="X765" s="9"/>
      <c r="Y765" s="9"/>
      <c r="Z765" s="9"/>
      <c r="AA765" s="9"/>
      <c r="AB765" s="9"/>
      <c r="AC765" s="9"/>
    </row>
    <row r="766" ht="15.75" customHeight="1">
      <c r="B766" s="106"/>
      <c r="C766" s="107"/>
      <c r="D766" s="108"/>
      <c r="E766" s="109"/>
      <c r="F766" s="107"/>
      <c r="G766" s="110"/>
      <c r="H766" s="109"/>
      <c r="I766" s="9"/>
      <c r="J766" s="9"/>
      <c r="K766" s="9"/>
      <c r="L766" s="9"/>
      <c r="M766" s="9"/>
      <c r="N766" s="9"/>
      <c r="O766" s="9"/>
      <c r="P766" s="9"/>
      <c r="Q766" s="9"/>
      <c r="R766" s="9"/>
      <c r="S766" s="9"/>
      <c r="T766" s="9"/>
      <c r="U766" s="9"/>
      <c r="V766" s="9"/>
      <c r="W766" s="9"/>
      <c r="X766" s="9"/>
      <c r="Y766" s="9"/>
      <c r="Z766" s="9"/>
      <c r="AA766" s="9"/>
      <c r="AB766" s="9"/>
      <c r="AC766" s="9"/>
    </row>
    <row r="767" ht="15.75" customHeight="1">
      <c r="B767" s="106"/>
      <c r="C767" s="107"/>
      <c r="D767" s="108"/>
      <c r="E767" s="109"/>
      <c r="F767" s="107"/>
      <c r="G767" s="110"/>
      <c r="H767" s="109"/>
      <c r="I767" s="9"/>
      <c r="J767" s="9"/>
      <c r="K767" s="9"/>
      <c r="L767" s="9"/>
      <c r="M767" s="9"/>
      <c r="N767" s="9"/>
      <c r="O767" s="9"/>
      <c r="P767" s="9"/>
      <c r="Q767" s="9"/>
      <c r="R767" s="9"/>
      <c r="S767" s="9"/>
      <c r="T767" s="9"/>
      <c r="U767" s="9"/>
      <c r="V767" s="9"/>
      <c r="W767" s="9"/>
      <c r="X767" s="9"/>
      <c r="Y767" s="9"/>
      <c r="Z767" s="9"/>
      <c r="AA767" s="9"/>
      <c r="AB767" s="9"/>
      <c r="AC767" s="9"/>
    </row>
    <row r="768" ht="15.75" customHeight="1">
      <c r="B768" s="106"/>
      <c r="C768" s="107"/>
      <c r="D768" s="108"/>
      <c r="E768" s="109"/>
      <c r="F768" s="107"/>
      <c r="G768" s="110"/>
      <c r="H768" s="109"/>
      <c r="I768" s="9"/>
      <c r="J768" s="9"/>
      <c r="K768" s="9"/>
      <c r="L768" s="9"/>
      <c r="M768" s="9"/>
      <c r="N768" s="9"/>
      <c r="O768" s="9"/>
      <c r="P768" s="9"/>
      <c r="Q768" s="9"/>
      <c r="R768" s="9"/>
      <c r="S768" s="9"/>
      <c r="T768" s="9"/>
      <c r="U768" s="9"/>
      <c r="V768" s="9"/>
      <c r="W768" s="9"/>
      <c r="X768" s="9"/>
      <c r="Y768" s="9"/>
      <c r="Z768" s="9"/>
      <c r="AA768" s="9"/>
      <c r="AB768" s="9"/>
      <c r="AC768" s="9"/>
    </row>
    <row r="769" ht="15.75" customHeight="1">
      <c r="B769" s="106"/>
      <c r="C769" s="107"/>
      <c r="D769" s="108"/>
      <c r="E769" s="109"/>
      <c r="F769" s="107"/>
      <c r="G769" s="110"/>
      <c r="H769" s="109"/>
      <c r="I769" s="9"/>
      <c r="J769" s="9"/>
      <c r="K769" s="9"/>
      <c r="L769" s="9"/>
      <c r="M769" s="9"/>
      <c r="N769" s="9"/>
      <c r="O769" s="9"/>
      <c r="P769" s="9"/>
      <c r="Q769" s="9"/>
      <c r="R769" s="9"/>
      <c r="S769" s="9"/>
      <c r="T769" s="9"/>
      <c r="U769" s="9"/>
      <c r="V769" s="9"/>
      <c r="W769" s="9"/>
      <c r="X769" s="9"/>
      <c r="Y769" s="9"/>
      <c r="Z769" s="9"/>
      <c r="AA769" s="9"/>
      <c r="AB769" s="9"/>
      <c r="AC769" s="9"/>
    </row>
    <row r="770" ht="15.75" customHeight="1">
      <c r="B770" s="106"/>
      <c r="C770" s="107"/>
      <c r="D770" s="108"/>
      <c r="E770" s="109"/>
      <c r="F770" s="107"/>
      <c r="G770" s="110"/>
      <c r="H770" s="109"/>
      <c r="I770" s="9"/>
      <c r="J770" s="9"/>
      <c r="K770" s="9"/>
      <c r="L770" s="9"/>
      <c r="M770" s="9"/>
      <c r="N770" s="9"/>
      <c r="O770" s="9"/>
      <c r="P770" s="9"/>
      <c r="Q770" s="9"/>
      <c r="R770" s="9"/>
      <c r="S770" s="9"/>
      <c r="T770" s="9"/>
      <c r="U770" s="9"/>
      <c r="V770" s="9"/>
      <c r="W770" s="9"/>
      <c r="X770" s="9"/>
      <c r="Y770" s="9"/>
      <c r="Z770" s="9"/>
      <c r="AA770" s="9"/>
      <c r="AB770" s="9"/>
      <c r="AC770" s="9"/>
    </row>
    <row r="771" ht="15.75" customHeight="1">
      <c r="B771" s="106"/>
      <c r="C771" s="107"/>
      <c r="D771" s="108"/>
      <c r="E771" s="109"/>
      <c r="F771" s="107"/>
      <c r="G771" s="110"/>
      <c r="H771" s="109"/>
      <c r="I771" s="9"/>
      <c r="J771" s="9"/>
      <c r="K771" s="9"/>
      <c r="L771" s="9"/>
      <c r="M771" s="9"/>
      <c r="N771" s="9"/>
      <c r="O771" s="9"/>
      <c r="P771" s="9"/>
      <c r="Q771" s="9"/>
      <c r="R771" s="9"/>
      <c r="S771" s="9"/>
      <c r="T771" s="9"/>
      <c r="U771" s="9"/>
      <c r="V771" s="9"/>
      <c r="W771" s="9"/>
      <c r="X771" s="9"/>
      <c r="Y771" s="9"/>
      <c r="Z771" s="9"/>
      <c r="AA771" s="9"/>
      <c r="AB771" s="9"/>
      <c r="AC771" s="9"/>
    </row>
    <row r="772" ht="15.75" customHeight="1">
      <c r="B772" s="106"/>
      <c r="C772" s="107"/>
      <c r="D772" s="108"/>
      <c r="E772" s="109"/>
      <c r="F772" s="107"/>
      <c r="G772" s="110"/>
      <c r="H772" s="109"/>
      <c r="I772" s="9"/>
      <c r="J772" s="9"/>
      <c r="K772" s="9"/>
      <c r="L772" s="9"/>
      <c r="M772" s="9"/>
      <c r="N772" s="9"/>
      <c r="O772" s="9"/>
      <c r="P772" s="9"/>
      <c r="Q772" s="9"/>
      <c r="R772" s="9"/>
      <c r="S772" s="9"/>
      <c r="T772" s="9"/>
      <c r="U772" s="9"/>
      <c r="V772" s="9"/>
      <c r="W772" s="9"/>
      <c r="X772" s="9"/>
      <c r="Y772" s="9"/>
      <c r="Z772" s="9"/>
      <c r="AA772" s="9"/>
      <c r="AB772" s="9"/>
      <c r="AC772" s="9"/>
    </row>
    <row r="773" ht="15.75" customHeight="1">
      <c r="B773" s="106"/>
      <c r="C773" s="107"/>
      <c r="D773" s="108"/>
      <c r="E773" s="109"/>
      <c r="F773" s="107"/>
      <c r="G773" s="110"/>
      <c r="H773" s="109"/>
      <c r="I773" s="9"/>
      <c r="J773" s="9"/>
      <c r="K773" s="9"/>
      <c r="L773" s="9"/>
      <c r="M773" s="9"/>
      <c r="N773" s="9"/>
      <c r="O773" s="9"/>
      <c r="P773" s="9"/>
      <c r="Q773" s="9"/>
      <c r="R773" s="9"/>
      <c r="S773" s="9"/>
      <c r="T773" s="9"/>
      <c r="U773" s="9"/>
      <c r="V773" s="9"/>
      <c r="W773" s="9"/>
      <c r="X773" s="9"/>
      <c r="Y773" s="9"/>
      <c r="Z773" s="9"/>
      <c r="AA773" s="9"/>
      <c r="AB773" s="9"/>
      <c r="AC773" s="9"/>
    </row>
    <row r="774" ht="15.75" customHeight="1">
      <c r="B774" s="106"/>
      <c r="C774" s="107"/>
      <c r="D774" s="108"/>
      <c r="E774" s="109"/>
      <c r="F774" s="107"/>
      <c r="G774" s="110"/>
      <c r="H774" s="109"/>
      <c r="I774" s="9"/>
      <c r="J774" s="9"/>
      <c r="K774" s="9"/>
      <c r="L774" s="9"/>
      <c r="M774" s="9"/>
      <c r="N774" s="9"/>
      <c r="O774" s="9"/>
      <c r="P774" s="9"/>
      <c r="Q774" s="9"/>
      <c r="R774" s="9"/>
      <c r="S774" s="9"/>
      <c r="T774" s="9"/>
      <c r="U774" s="9"/>
      <c r="V774" s="9"/>
      <c r="W774" s="9"/>
      <c r="X774" s="9"/>
      <c r="Y774" s="9"/>
      <c r="Z774" s="9"/>
      <c r="AA774" s="9"/>
      <c r="AB774" s="9"/>
      <c r="AC774" s="9"/>
    </row>
    <row r="775" ht="15.75" customHeight="1">
      <c r="B775" s="106"/>
      <c r="C775" s="107"/>
      <c r="D775" s="108"/>
      <c r="E775" s="109"/>
      <c r="F775" s="107"/>
      <c r="G775" s="110"/>
      <c r="H775" s="109"/>
      <c r="I775" s="9"/>
      <c r="J775" s="9"/>
      <c r="K775" s="9"/>
      <c r="L775" s="9"/>
      <c r="M775" s="9"/>
      <c r="N775" s="9"/>
      <c r="O775" s="9"/>
      <c r="P775" s="9"/>
      <c r="Q775" s="9"/>
      <c r="R775" s="9"/>
      <c r="S775" s="9"/>
      <c r="T775" s="9"/>
      <c r="U775" s="9"/>
      <c r="V775" s="9"/>
      <c r="W775" s="9"/>
      <c r="X775" s="9"/>
      <c r="Y775" s="9"/>
      <c r="Z775" s="9"/>
      <c r="AA775" s="9"/>
      <c r="AB775" s="9"/>
      <c r="AC775" s="9"/>
    </row>
    <row r="776" ht="15.75" customHeight="1">
      <c r="B776" s="106"/>
      <c r="C776" s="107"/>
      <c r="D776" s="108"/>
      <c r="E776" s="109"/>
      <c r="F776" s="107"/>
      <c r="G776" s="110"/>
      <c r="H776" s="109"/>
      <c r="I776" s="9"/>
      <c r="J776" s="9"/>
      <c r="K776" s="9"/>
      <c r="L776" s="9"/>
      <c r="M776" s="9"/>
      <c r="N776" s="9"/>
      <c r="O776" s="9"/>
      <c r="P776" s="9"/>
      <c r="Q776" s="9"/>
      <c r="R776" s="9"/>
      <c r="S776" s="9"/>
      <c r="T776" s="9"/>
      <c r="U776" s="9"/>
      <c r="V776" s="9"/>
      <c r="W776" s="9"/>
      <c r="X776" s="9"/>
      <c r="Y776" s="9"/>
      <c r="Z776" s="9"/>
      <c r="AA776" s="9"/>
      <c r="AB776" s="9"/>
      <c r="AC776" s="9"/>
    </row>
    <row r="777" ht="15.75" customHeight="1">
      <c r="B777" s="106"/>
      <c r="C777" s="107"/>
      <c r="D777" s="108"/>
      <c r="E777" s="109"/>
      <c r="F777" s="107"/>
      <c r="G777" s="110"/>
      <c r="H777" s="109"/>
      <c r="I777" s="9"/>
      <c r="J777" s="9"/>
      <c r="K777" s="9"/>
      <c r="L777" s="9"/>
      <c r="M777" s="9"/>
      <c r="N777" s="9"/>
      <c r="O777" s="9"/>
      <c r="P777" s="9"/>
      <c r="Q777" s="9"/>
      <c r="R777" s="9"/>
      <c r="S777" s="9"/>
      <c r="T777" s="9"/>
      <c r="U777" s="9"/>
      <c r="V777" s="9"/>
      <c r="W777" s="9"/>
      <c r="X777" s="9"/>
      <c r="Y777" s="9"/>
      <c r="Z777" s="9"/>
      <c r="AA777" s="9"/>
      <c r="AB777" s="9"/>
      <c r="AC777" s="9"/>
    </row>
    <row r="778" ht="15.75" customHeight="1">
      <c r="B778" s="106"/>
      <c r="C778" s="107"/>
      <c r="D778" s="108"/>
      <c r="E778" s="109"/>
      <c r="F778" s="107"/>
      <c r="G778" s="110"/>
      <c r="H778" s="109"/>
      <c r="I778" s="9"/>
      <c r="J778" s="9"/>
      <c r="K778" s="9"/>
      <c r="L778" s="9"/>
      <c r="M778" s="9"/>
      <c r="N778" s="9"/>
      <c r="O778" s="9"/>
      <c r="P778" s="9"/>
      <c r="Q778" s="9"/>
      <c r="R778" s="9"/>
      <c r="S778" s="9"/>
      <c r="T778" s="9"/>
      <c r="U778" s="9"/>
      <c r="V778" s="9"/>
      <c r="W778" s="9"/>
      <c r="X778" s="9"/>
      <c r="Y778" s="9"/>
      <c r="Z778" s="9"/>
      <c r="AA778" s="9"/>
      <c r="AB778" s="9"/>
      <c r="AC778" s="9"/>
    </row>
    <row r="779" ht="15.75" customHeight="1">
      <c r="B779" s="106"/>
      <c r="C779" s="107"/>
      <c r="D779" s="108"/>
      <c r="E779" s="109"/>
      <c r="F779" s="107"/>
      <c r="G779" s="110"/>
      <c r="H779" s="109"/>
      <c r="I779" s="9"/>
      <c r="J779" s="9"/>
      <c r="K779" s="9"/>
      <c r="L779" s="9"/>
      <c r="M779" s="9"/>
      <c r="N779" s="9"/>
      <c r="O779" s="9"/>
      <c r="P779" s="9"/>
      <c r="Q779" s="9"/>
      <c r="R779" s="9"/>
      <c r="S779" s="9"/>
      <c r="T779" s="9"/>
      <c r="U779" s="9"/>
      <c r="V779" s="9"/>
      <c r="W779" s="9"/>
      <c r="X779" s="9"/>
      <c r="Y779" s="9"/>
      <c r="Z779" s="9"/>
      <c r="AA779" s="9"/>
      <c r="AB779" s="9"/>
      <c r="AC779" s="9"/>
    </row>
    <row r="780" ht="15.75" customHeight="1">
      <c r="B780" s="106"/>
      <c r="C780" s="107"/>
      <c r="D780" s="108"/>
      <c r="E780" s="109"/>
      <c r="F780" s="107"/>
      <c r="G780" s="110"/>
      <c r="H780" s="109"/>
      <c r="I780" s="9"/>
      <c r="J780" s="9"/>
      <c r="K780" s="9"/>
      <c r="L780" s="9"/>
      <c r="M780" s="9"/>
      <c r="N780" s="9"/>
      <c r="O780" s="9"/>
      <c r="P780" s="9"/>
      <c r="Q780" s="9"/>
      <c r="R780" s="9"/>
      <c r="S780" s="9"/>
      <c r="T780" s="9"/>
      <c r="U780" s="9"/>
      <c r="V780" s="9"/>
      <c r="W780" s="9"/>
      <c r="X780" s="9"/>
      <c r="Y780" s="9"/>
      <c r="Z780" s="9"/>
      <c r="AA780" s="9"/>
      <c r="AB780" s="9"/>
      <c r="AC780" s="9"/>
    </row>
    <row r="781" ht="15.75" customHeight="1">
      <c r="B781" s="106"/>
      <c r="C781" s="107"/>
      <c r="D781" s="108"/>
      <c r="E781" s="109"/>
      <c r="F781" s="107"/>
      <c r="G781" s="110"/>
      <c r="H781" s="109"/>
      <c r="I781" s="9"/>
      <c r="J781" s="9"/>
      <c r="K781" s="9"/>
      <c r="L781" s="9"/>
      <c r="M781" s="9"/>
      <c r="N781" s="9"/>
      <c r="O781" s="9"/>
      <c r="P781" s="9"/>
      <c r="Q781" s="9"/>
      <c r="R781" s="9"/>
      <c r="S781" s="9"/>
      <c r="T781" s="9"/>
      <c r="U781" s="9"/>
      <c r="V781" s="9"/>
      <c r="W781" s="9"/>
      <c r="X781" s="9"/>
      <c r="Y781" s="9"/>
      <c r="Z781" s="9"/>
      <c r="AA781" s="9"/>
      <c r="AB781" s="9"/>
      <c r="AC781" s="9"/>
    </row>
    <row r="782" ht="15.75" customHeight="1">
      <c r="B782" s="106"/>
      <c r="C782" s="107"/>
      <c r="D782" s="108"/>
      <c r="E782" s="109"/>
      <c r="F782" s="107"/>
      <c r="G782" s="110"/>
      <c r="H782" s="109"/>
      <c r="I782" s="9"/>
      <c r="J782" s="9"/>
      <c r="K782" s="9"/>
      <c r="L782" s="9"/>
      <c r="M782" s="9"/>
      <c r="N782" s="9"/>
      <c r="O782" s="9"/>
      <c r="P782" s="9"/>
      <c r="Q782" s="9"/>
      <c r="R782" s="9"/>
      <c r="S782" s="9"/>
      <c r="T782" s="9"/>
      <c r="U782" s="9"/>
      <c r="V782" s="9"/>
      <c r="W782" s="9"/>
      <c r="X782" s="9"/>
      <c r="Y782" s="9"/>
      <c r="Z782" s="9"/>
      <c r="AA782" s="9"/>
      <c r="AB782" s="9"/>
      <c r="AC782" s="9"/>
    </row>
    <row r="783" ht="15.75" customHeight="1">
      <c r="B783" s="106"/>
      <c r="C783" s="107"/>
      <c r="D783" s="108"/>
      <c r="E783" s="109"/>
      <c r="F783" s="107"/>
      <c r="G783" s="110"/>
      <c r="H783" s="109"/>
      <c r="I783" s="9"/>
      <c r="J783" s="9"/>
      <c r="K783" s="9"/>
      <c r="L783" s="9"/>
      <c r="M783" s="9"/>
      <c r="N783" s="9"/>
      <c r="O783" s="9"/>
      <c r="P783" s="9"/>
      <c r="Q783" s="9"/>
      <c r="R783" s="9"/>
      <c r="S783" s="9"/>
      <c r="T783" s="9"/>
      <c r="U783" s="9"/>
      <c r="V783" s="9"/>
      <c r="W783" s="9"/>
      <c r="X783" s="9"/>
      <c r="Y783" s="9"/>
      <c r="Z783" s="9"/>
      <c r="AA783" s="9"/>
      <c r="AB783" s="9"/>
      <c r="AC783" s="9"/>
    </row>
    <row r="784" ht="15.75" customHeight="1">
      <c r="B784" s="106"/>
      <c r="C784" s="107"/>
      <c r="D784" s="108"/>
      <c r="E784" s="109"/>
      <c r="F784" s="107"/>
      <c r="G784" s="110"/>
      <c r="H784" s="109"/>
      <c r="I784" s="9"/>
      <c r="J784" s="9"/>
      <c r="K784" s="9"/>
      <c r="L784" s="9"/>
      <c r="M784" s="9"/>
      <c r="N784" s="9"/>
      <c r="O784" s="9"/>
      <c r="P784" s="9"/>
      <c r="Q784" s="9"/>
      <c r="R784" s="9"/>
      <c r="S784" s="9"/>
      <c r="T784" s="9"/>
      <c r="U784" s="9"/>
      <c r="V784" s="9"/>
      <c r="W784" s="9"/>
      <c r="X784" s="9"/>
      <c r="Y784" s="9"/>
      <c r="Z784" s="9"/>
      <c r="AA784" s="9"/>
      <c r="AB784" s="9"/>
      <c r="AC784" s="9"/>
    </row>
    <row r="785" ht="15.75" customHeight="1">
      <c r="B785" s="106"/>
      <c r="C785" s="107"/>
      <c r="D785" s="108"/>
      <c r="E785" s="109"/>
      <c r="F785" s="107"/>
      <c r="G785" s="110"/>
      <c r="H785" s="109"/>
      <c r="I785" s="9"/>
      <c r="J785" s="9"/>
      <c r="K785" s="9"/>
      <c r="L785" s="9"/>
      <c r="M785" s="9"/>
      <c r="N785" s="9"/>
      <c r="O785" s="9"/>
      <c r="P785" s="9"/>
      <c r="Q785" s="9"/>
      <c r="R785" s="9"/>
      <c r="S785" s="9"/>
      <c r="T785" s="9"/>
      <c r="U785" s="9"/>
      <c r="V785" s="9"/>
      <c r="W785" s="9"/>
      <c r="X785" s="9"/>
      <c r="Y785" s="9"/>
      <c r="Z785" s="9"/>
      <c r="AA785" s="9"/>
      <c r="AB785" s="9"/>
      <c r="AC785" s="9"/>
    </row>
    <row r="786" ht="15.75" customHeight="1">
      <c r="B786" s="106"/>
      <c r="C786" s="107"/>
      <c r="D786" s="108"/>
      <c r="E786" s="109"/>
      <c r="F786" s="107"/>
      <c r="G786" s="110"/>
      <c r="H786" s="109"/>
      <c r="I786" s="9"/>
      <c r="J786" s="9"/>
      <c r="K786" s="9"/>
      <c r="L786" s="9"/>
      <c r="M786" s="9"/>
      <c r="N786" s="9"/>
      <c r="O786" s="9"/>
      <c r="P786" s="9"/>
      <c r="Q786" s="9"/>
      <c r="R786" s="9"/>
      <c r="S786" s="9"/>
      <c r="T786" s="9"/>
      <c r="U786" s="9"/>
      <c r="V786" s="9"/>
      <c r="W786" s="9"/>
      <c r="X786" s="9"/>
      <c r="Y786" s="9"/>
      <c r="Z786" s="9"/>
      <c r="AA786" s="9"/>
      <c r="AB786" s="9"/>
      <c r="AC786" s="9"/>
    </row>
    <row r="787" ht="15.75" customHeight="1">
      <c r="B787" s="106"/>
      <c r="C787" s="107"/>
      <c r="D787" s="108"/>
      <c r="E787" s="109"/>
      <c r="F787" s="107"/>
      <c r="G787" s="110"/>
      <c r="H787" s="109"/>
      <c r="I787" s="9"/>
      <c r="J787" s="9"/>
      <c r="K787" s="9"/>
      <c r="L787" s="9"/>
      <c r="M787" s="9"/>
      <c r="N787" s="9"/>
      <c r="O787" s="9"/>
      <c r="P787" s="9"/>
      <c r="Q787" s="9"/>
      <c r="R787" s="9"/>
      <c r="S787" s="9"/>
      <c r="T787" s="9"/>
      <c r="U787" s="9"/>
      <c r="V787" s="9"/>
      <c r="W787" s="9"/>
      <c r="X787" s="9"/>
      <c r="Y787" s="9"/>
      <c r="Z787" s="9"/>
      <c r="AA787" s="9"/>
      <c r="AB787" s="9"/>
      <c r="AC787" s="9"/>
    </row>
    <row r="788" ht="15.75" customHeight="1">
      <c r="B788" s="106"/>
      <c r="C788" s="107"/>
      <c r="D788" s="108"/>
      <c r="E788" s="109"/>
      <c r="F788" s="107"/>
      <c r="G788" s="110"/>
      <c r="H788" s="109"/>
      <c r="I788" s="9"/>
      <c r="J788" s="9"/>
      <c r="K788" s="9"/>
      <c r="L788" s="9"/>
      <c r="M788" s="9"/>
      <c r="N788" s="9"/>
      <c r="O788" s="9"/>
      <c r="P788" s="9"/>
      <c r="Q788" s="9"/>
      <c r="R788" s="9"/>
      <c r="S788" s="9"/>
      <c r="T788" s="9"/>
      <c r="U788" s="9"/>
      <c r="V788" s="9"/>
      <c r="W788" s="9"/>
      <c r="X788" s="9"/>
      <c r="Y788" s="9"/>
      <c r="Z788" s="9"/>
      <c r="AA788" s="9"/>
      <c r="AB788" s="9"/>
      <c r="AC788" s="9"/>
    </row>
    <row r="789" ht="15.75" customHeight="1">
      <c r="B789" s="106"/>
      <c r="C789" s="107"/>
      <c r="D789" s="108"/>
      <c r="E789" s="109"/>
      <c r="F789" s="107"/>
      <c r="G789" s="110"/>
      <c r="H789" s="109"/>
      <c r="I789" s="9"/>
      <c r="J789" s="9"/>
      <c r="K789" s="9"/>
      <c r="L789" s="9"/>
      <c r="M789" s="9"/>
      <c r="N789" s="9"/>
      <c r="O789" s="9"/>
      <c r="P789" s="9"/>
      <c r="Q789" s="9"/>
      <c r="R789" s="9"/>
      <c r="S789" s="9"/>
      <c r="T789" s="9"/>
      <c r="U789" s="9"/>
      <c r="V789" s="9"/>
      <c r="W789" s="9"/>
      <c r="X789" s="9"/>
      <c r="Y789" s="9"/>
      <c r="Z789" s="9"/>
      <c r="AA789" s="9"/>
      <c r="AB789" s="9"/>
      <c r="AC789" s="9"/>
    </row>
    <row r="790" ht="15.75" customHeight="1">
      <c r="B790" s="106"/>
      <c r="C790" s="107"/>
      <c r="D790" s="108"/>
      <c r="E790" s="109"/>
      <c r="F790" s="107"/>
      <c r="G790" s="110"/>
      <c r="H790" s="109"/>
      <c r="I790" s="9"/>
      <c r="J790" s="9"/>
      <c r="K790" s="9"/>
      <c r="L790" s="9"/>
      <c r="M790" s="9"/>
      <c r="N790" s="9"/>
      <c r="O790" s="9"/>
      <c r="P790" s="9"/>
      <c r="Q790" s="9"/>
      <c r="R790" s="9"/>
      <c r="S790" s="9"/>
      <c r="T790" s="9"/>
      <c r="U790" s="9"/>
      <c r="V790" s="9"/>
      <c r="W790" s="9"/>
      <c r="X790" s="9"/>
      <c r="Y790" s="9"/>
      <c r="Z790" s="9"/>
      <c r="AA790" s="9"/>
      <c r="AB790" s="9"/>
      <c r="AC790" s="9"/>
    </row>
    <row r="791" ht="15.75" customHeight="1">
      <c r="B791" s="106"/>
      <c r="C791" s="107"/>
      <c r="D791" s="108"/>
      <c r="E791" s="109"/>
      <c r="F791" s="107"/>
      <c r="G791" s="110"/>
      <c r="H791" s="109"/>
      <c r="I791" s="9"/>
      <c r="J791" s="9"/>
      <c r="K791" s="9"/>
      <c r="L791" s="9"/>
      <c r="M791" s="9"/>
      <c r="N791" s="9"/>
      <c r="O791" s="9"/>
      <c r="P791" s="9"/>
      <c r="Q791" s="9"/>
      <c r="R791" s="9"/>
      <c r="S791" s="9"/>
      <c r="T791" s="9"/>
      <c r="U791" s="9"/>
      <c r="V791" s="9"/>
      <c r="W791" s="9"/>
      <c r="X791" s="9"/>
      <c r="Y791" s="9"/>
      <c r="Z791" s="9"/>
      <c r="AA791" s="9"/>
      <c r="AB791" s="9"/>
      <c r="AC791" s="9"/>
    </row>
    <row r="792" ht="15.75" customHeight="1">
      <c r="B792" s="106"/>
      <c r="C792" s="107"/>
      <c r="D792" s="108"/>
      <c r="E792" s="109"/>
      <c r="F792" s="107"/>
      <c r="G792" s="110"/>
      <c r="H792" s="109"/>
      <c r="I792" s="9"/>
      <c r="J792" s="9"/>
      <c r="K792" s="9"/>
      <c r="L792" s="9"/>
      <c r="M792" s="9"/>
      <c r="N792" s="9"/>
      <c r="O792" s="9"/>
      <c r="P792" s="9"/>
      <c r="Q792" s="9"/>
      <c r="R792" s="9"/>
      <c r="S792" s="9"/>
      <c r="T792" s="9"/>
      <c r="U792" s="9"/>
      <c r="V792" s="9"/>
      <c r="W792" s="9"/>
      <c r="X792" s="9"/>
      <c r="Y792" s="9"/>
      <c r="Z792" s="9"/>
      <c r="AA792" s="9"/>
      <c r="AB792" s="9"/>
      <c r="AC792" s="9"/>
    </row>
    <row r="793" ht="15.75" customHeight="1">
      <c r="B793" s="106"/>
      <c r="C793" s="107"/>
      <c r="D793" s="108"/>
      <c r="E793" s="109"/>
      <c r="F793" s="107"/>
      <c r="G793" s="110"/>
      <c r="H793" s="109"/>
      <c r="I793" s="9"/>
      <c r="J793" s="9"/>
      <c r="K793" s="9"/>
      <c r="L793" s="9"/>
      <c r="M793" s="9"/>
      <c r="N793" s="9"/>
      <c r="O793" s="9"/>
      <c r="P793" s="9"/>
      <c r="Q793" s="9"/>
      <c r="R793" s="9"/>
      <c r="S793" s="9"/>
      <c r="T793" s="9"/>
      <c r="U793" s="9"/>
      <c r="V793" s="9"/>
      <c r="W793" s="9"/>
      <c r="X793" s="9"/>
      <c r="Y793" s="9"/>
      <c r="Z793" s="9"/>
      <c r="AA793" s="9"/>
      <c r="AB793" s="9"/>
      <c r="AC793" s="9"/>
    </row>
    <row r="794" ht="15.75" customHeight="1">
      <c r="B794" s="106"/>
      <c r="C794" s="107"/>
      <c r="D794" s="108"/>
      <c r="E794" s="109"/>
      <c r="F794" s="107"/>
      <c r="G794" s="110"/>
      <c r="H794" s="109"/>
      <c r="I794" s="9"/>
      <c r="J794" s="9"/>
      <c r="K794" s="9"/>
      <c r="L794" s="9"/>
      <c r="M794" s="9"/>
      <c r="N794" s="9"/>
      <c r="O794" s="9"/>
      <c r="P794" s="9"/>
      <c r="Q794" s="9"/>
      <c r="R794" s="9"/>
      <c r="S794" s="9"/>
      <c r="T794" s="9"/>
      <c r="U794" s="9"/>
      <c r="V794" s="9"/>
      <c r="W794" s="9"/>
      <c r="X794" s="9"/>
      <c r="Y794" s="9"/>
      <c r="Z794" s="9"/>
      <c r="AA794" s="9"/>
      <c r="AB794" s="9"/>
      <c r="AC794" s="9"/>
    </row>
    <row r="795" ht="15.75" customHeight="1">
      <c r="B795" s="106"/>
      <c r="C795" s="107"/>
      <c r="D795" s="108"/>
      <c r="E795" s="109"/>
      <c r="F795" s="107"/>
      <c r="G795" s="110"/>
      <c r="H795" s="109"/>
      <c r="I795" s="9"/>
      <c r="J795" s="9"/>
      <c r="K795" s="9"/>
      <c r="L795" s="9"/>
      <c r="M795" s="9"/>
      <c r="N795" s="9"/>
      <c r="O795" s="9"/>
      <c r="P795" s="9"/>
      <c r="Q795" s="9"/>
      <c r="R795" s="9"/>
      <c r="S795" s="9"/>
      <c r="T795" s="9"/>
      <c r="U795" s="9"/>
      <c r="V795" s="9"/>
      <c r="W795" s="9"/>
      <c r="X795" s="9"/>
      <c r="Y795" s="9"/>
      <c r="Z795" s="9"/>
      <c r="AA795" s="9"/>
      <c r="AB795" s="9"/>
      <c r="AC795" s="9"/>
    </row>
    <row r="796" ht="15.75" customHeight="1">
      <c r="B796" s="106"/>
      <c r="C796" s="107"/>
      <c r="D796" s="108"/>
      <c r="E796" s="109"/>
      <c r="F796" s="107"/>
      <c r="G796" s="110"/>
      <c r="H796" s="109"/>
      <c r="I796" s="9"/>
      <c r="J796" s="9"/>
      <c r="K796" s="9"/>
      <c r="L796" s="9"/>
      <c r="M796" s="9"/>
      <c r="N796" s="9"/>
      <c r="O796" s="9"/>
      <c r="P796" s="9"/>
      <c r="Q796" s="9"/>
      <c r="R796" s="9"/>
      <c r="S796" s="9"/>
      <c r="T796" s="9"/>
      <c r="U796" s="9"/>
      <c r="V796" s="9"/>
      <c r="W796" s="9"/>
      <c r="X796" s="9"/>
      <c r="Y796" s="9"/>
      <c r="Z796" s="9"/>
      <c r="AA796" s="9"/>
      <c r="AB796" s="9"/>
      <c r="AC796" s="9"/>
    </row>
    <row r="797" ht="15.75" customHeight="1">
      <c r="B797" s="106"/>
      <c r="C797" s="107"/>
      <c r="D797" s="108"/>
      <c r="E797" s="109"/>
      <c r="F797" s="107"/>
      <c r="G797" s="110"/>
      <c r="H797" s="109"/>
      <c r="I797" s="9"/>
      <c r="J797" s="9"/>
      <c r="K797" s="9"/>
      <c r="L797" s="9"/>
      <c r="M797" s="9"/>
      <c r="N797" s="9"/>
      <c r="O797" s="9"/>
      <c r="P797" s="9"/>
      <c r="Q797" s="9"/>
      <c r="R797" s="9"/>
      <c r="S797" s="9"/>
      <c r="T797" s="9"/>
      <c r="U797" s="9"/>
      <c r="V797" s="9"/>
      <c r="W797" s="9"/>
      <c r="X797" s="9"/>
      <c r="Y797" s="9"/>
      <c r="Z797" s="9"/>
      <c r="AA797" s="9"/>
      <c r="AB797" s="9"/>
      <c r="AC797" s="9"/>
    </row>
    <row r="798" ht="15.75" customHeight="1">
      <c r="B798" s="106"/>
      <c r="C798" s="107"/>
      <c r="D798" s="108"/>
      <c r="E798" s="109"/>
      <c r="F798" s="107"/>
      <c r="G798" s="110"/>
      <c r="H798" s="109"/>
      <c r="I798" s="9"/>
      <c r="J798" s="9"/>
      <c r="K798" s="9"/>
      <c r="L798" s="9"/>
      <c r="M798" s="9"/>
      <c r="N798" s="9"/>
      <c r="O798" s="9"/>
      <c r="P798" s="9"/>
      <c r="Q798" s="9"/>
      <c r="R798" s="9"/>
      <c r="S798" s="9"/>
      <c r="T798" s="9"/>
      <c r="U798" s="9"/>
      <c r="V798" s="9"/>
      <c r="W798" s="9"/>
      <c r="X798" s="9"/>
      <c r="Y798" s="9"/>
      <c r="Z798" s="9"/>
      <c r="AA798" s="9"/>
      <c r="AB798" s="9"/>
      <c r="AC798" s="9"/>
    </row>
    <row r="799" ht="15.75" customHeight="1">
      <c r="B799" s="106"/>
      <c r="C799" s="107"/>
      <c r="D799" s="108"/>
      <c r="E799" s="109"/>
      <c r="F799" s="107"/>
      <c r="G799" s="110"/>
      <c r="H799" s="109"/>
      <c r="I799" s="9"/>
      <c r="J799" s="9"/>
      <c r="K799" s="9"/>
      <c r="L799" s="9"/>
      <c r="M799" s="9"/>
      <c r="N799" s="9"/>
      <c r="O799" s="9"/>
      <c r="P799" s="9"/>
      <c r="Q799" s="9"/>
      <c r="R799" s="9"/>
      <c r="S799" s="9"/>
      <c r="T799" s="9"/>
      <c r="U799" s="9"/>
      <c r="V799" s="9"/>
      <c r="W799" s="9"/>
      <c r="X799" s="9"/>
      <c r="Y799" s="9"/>
      <c r="Z799" s="9"/>
      <c r="AA799" s="9"/>
      <c r="AB799" s="9"/>
      <c r="AC799" s="9"/>
    </row>
    <row r="800" ht="15.75" customHeight="1">
      <c r="B800" s="106"/>
      <c r="C800" s="107"/>
      <c r="D800" s="108"/>
      <c r="E800" s="109"/>
      <c r="F800" s="107"/>
      <c r="G800" s="110"/>
      <c r="H800" s="109"/>
      <c r="I800" s="9"/>
      <c r="J800" s="9"/>
      <c r="K800" s="9"/>
      <c r="L800" s="9"/>
      <c r="M800" s="9"/>
      <c r="N800" s="9"/>
      <c r="O800" s="9"/>
      <c r="P800" s="9"/>
      <c r="Q800" s="9"/>
      <c r="R800" s="9"/>
      <c r="S800" s="9"/>
      <c r="T800" s="9"/>
      <c r="U800" s="9"/>
      <c r="V800" s="9"/>
      <c r="W800" s="9"/>
      <c r="X800" s="9"/>
      <c r="Y800" s="9"/>
      <c r="Z800" s="9"/>
      <c r="AA800" s="9"/>
      <c r="AB800" s="9"/>
      <c r="AC800" s="9"/>
    </row>
    <row r="801" ht="15.75" customHeight="1">
      <c r="B801" s="106"/>
      <c r="C801" s="107"/>
      <c r="D801" s="108"/>
      <c r="E801" s="109"/>
      <c r="F801" s="107"/>
      <c r="G801" s="110"/>
      <c r="H801" s="109"/>
      <c r="I801" s="9"/>
      <c r="J801" s="9"/>
      <c r="K801" s="9"/>
      <c r="L801" s="9"/>
      <c r="M801" s="9"/>
      <c r="N801" s="9"/>
      <c r="O801" s="9"/>
      <c r="P801" s="9"/>
      <c r="Q801" s="9"/>
      <c r="R801" s="9"/>
      <c r="S801" s="9"/>
      <c r="T801" s="9"/>
      <c r="U801" s="9"/>
      <c r="V801" s="9"/>
      <c r="W801" s="9"/>
      <c r="X801" s="9"/>
      <c r="Y801" s="9"/>
      <c r="Z801" s="9"/>
      <c r="AA801" s="9"/>
      <c r="AB801" s="9"/>
      <c r="AC801" s="9"/>
    </row>
    <row r="802" ht="15.75" customHeight="1">
      <c r="B802" s="106"/>
      <c r="C802" s="107"/>
      <c r="D802" s="108"/>
      <c r="E802" s="109"/>
      <c r="F802" s="107"/>
      <c r="G802" s="110"/>
      <c r="H802" s="109"/>
      <c r="I802" s="9"/>
      <c r="J802" s="9"/>
      <c r="K802" s="9"/>
      <c r="L802" s="9"/>
      <c r="M802" s="9"/>
      <c r="N802" s="9"/>
      <c r="O802" s="9"/>
      <c r="P802" s="9"/>
      <c r="Q802" s="9"/>
      <c r="R802" s="9"/>
      <c r="S802" s="9"/>
      <c r="T802" s="9"/>
      <c r="U802" s="9"/>
      <c r="V802" s="9"/>
      <c r="W802" s="9"/>
      <c r="X802" s="9"/>
      <c r="Y802" s="9"/>
      <c r="Z802" s="9"/>
      <c r="AA802" s="9"/>
      <c r="AB802" s="9"/>
      <c r="AC802" s="9"/>
    </row>
    <row r="803" ht="15.75" customHeight="1">
      <c r="B803" s="106"/>
      <c r="C803" s="107"/>
      <c r="D803" s="108"/>
      <c r="E803" s="109"/>
      <c r="F803" s="107"/>
      <c r="G803" s="110"/>
      <c r="H803" s="109"/>
      <c r="I803" s="9"/>
      <c r="J803" s="9"/>
      <c r="K803" s="9"/>
      <c r="L803" s="9"/>
      <c r="M803" s="9"/>
      <c r="N803" s="9"/>
      <c r="O803" s="9"/>
      <c r="P803" s="9"/>
      <c r="Q803" s="9"/>
      <c r="R803" s="9"/>
      <c r="S803" s="9"/>
      <c r="T803" s="9"/>
      <c r="U803" s="9"/>
      <c r="V803" s="9"/>
      <c r="W803" s="9"/>
      <c r="X803" s="9"/>
      <c r="Y803" s="9"/>
      <c r="Z803" s="9"/>
      <c r="AA803" s="9"/>
      <c r="AB803" s="9"/>
      <c r="AC803" s="9"/>
    </row>
    <row r="804" ht="15.75" customHeight="1">
      <c r="B804" s="106"/>
      <c r="C804" s="107"/>
      <c r="D804" s="108"/>
      <c r="E804" s="109"/>
      <c r="F804" s="107"/>
      <c r="G804" s="110"/>
      <c r="H804" s="109"/>
      <c r="I804" s="9"/>
      <c r="J804" s="9"/>
      <c r="K804" s="9"/>
      <c r="L804" s="9"/>
      <c r="M804" s="9"/>
      <c r="N804" s="9"/>
      <c r="O804" s="9"/>
      <c r="P804" s="9"/>
      <c r="Q804" s="9"/>
      <c r="R804" s="9"/>
      <c r="S804" s="9"/>
      <c r="T804" s="9"/>
      <c r="U804" s="9"/>
      <c r="V804" s="9"/>
      <c r="W804" s="9"/>
      <c r="X804" s="9"/>
      <c r="Y804" s="9"/>
      <c r="Z804" s="9"/>
      <c r="AA804" s="9"/>
      <c r="AB804" s="9"/>
      <c r="AC804" s="9"/>
    </row>
    <row r="805" ht="15.75" customHeight="1">
      <c r="B805" s="106"/>
      <c r="C805" s="107"/>
      <c r="D805" s="108"/>
      <c r="E805" s="109"/>
      <c r="F805" s="107"/>
      <c r="G805" s="110"/>
      <c r="H805" s="109"/>
      <c r="I805" s="9"/>
      <c r="J805" s="9"/>
      <c r="K805" s="9"/>
      <c r="L805" s="9"/>
      <c r="M805" s="9"/>
      <c r="N805" s="9"/>
      <c r="O805" s="9"/>
      <c r="P805" s="9"/>
      <c r="Q805" s="9"/>
      <c r="R805" s="9"/>
      <c r="S805" s="9"/>
      <c r="T805" s="9"/>
      <c r="U805" s="9"/>
      <c r="V805" s="9"/>
      <c r="W805" s="9"/>
      <c r="X805" s="9"/>
      <c r="Y805" s="9"/>
      <c r="Z805" s="9"/>
      <c r="AA805" s="9"/>
      <c r="AB805" s="9"/>
      <c r="AC805" s="9"/>
    </row>
    <row r="806" ht="15.75" customHeight="1">
      <c r="B806" s="106"/>
      <c r="C806" s="107"/>
      <c r="D806" s="108"/>
      <c r="E806" s="109"/>
      <c r="F806" s="107"/>
      <c r="G806" s="110"/>
      <c r="H806" s="109"/>
      <c r="I806" s="9"/>
      <c r="J806" s="9"/>
      <c r="K806" s="9"/>
      <c r="L806" s="9"/>
      <c r="M806" s="9"/>
      <c r="N806" s="9"/>
      <c r="O806" s="9"/>
      <c r="P806" s="9"/>
      <c r="Q806" s="9"/>
      <c r="R806" s="9"/>
      <c r="S806" s="9"/>
      <c r="T806" s="9"/>
      <c r="U806" s="9"/>
      <c r="V806" s="9"/>
      <c r="W806" s="9"/>
      <c r="X806" s="9"/>
      <c r="Y806" s="9"/>
      <c r="Z806" s="9"/>
      <c r="AA806" s="9"/>
      <c r="AB806" s="9"/>
      <c r="AC806" s="9"/>
    </row>
    <row r="807" ht="15.75" customHeight="1">
      <c r="B807" s="106"/>
      <c r="C807" s="107"/>
      <c r="D807" s="108"/>
      <c r="E807" s="109"/>
      <c r="F807" s="107"/>
      <c r="G807" s="110"/>
      <c r="H807" s="109"/>
      <c r="I807" s="9"/>
      <c r="J807" s="9"/>
      <c r="K807" s="9"/>
      <c r="L807" s="9"/>
      <c r="M807" s="9"/>
      <c r="N807" s="9"/>
      <c r="O807" s="9"/>
      <c r="P807" s="9"/>
      <c r="Q807" s="9"/>
      <c r="R807" s="9"/>
      <c r="S807" s="9"/>
      <c r="T807" s="9"/>
      <c r="U807" s="9"/>
      <c r="V807" s="9"/>
      <c r="W807" s="9"/>
      <c r="X807" s="9"/>
      <c r="Y807" s="9"/>
      <c r="Z807" s="9"/>
      <c r="AA807" s="9"/>
      <c r="AB807" s="9"/>
      <c r="AC807" s="9"/>
    </row>
    <row r="808" ht="15.75" customHeight="1">
      <c r="B808" s="106"/>
      <c r="C808" s="107"/>
      <c r="D808" s="108"/>
      <c r="E808" s="109"/>
      <c r="F808" s="107"/>
      <c r="G808" s="110"/>
      <c r="H808" s="109"/>
      <c r="I808" s="9"/>
      <c r="J808" s="9"/>
      <c r="K808" s="9"/>
      <c r="L808" s="9"/>
      <c r="M808" s="9"/>
      <c r="N808" s="9"/>
      <c r="O808" s="9"/>
      <c r="P808" s="9"/>
      <c r="Q808" s="9"/>
      <c r="R808" s="9"/>
      <c r="S808" s="9"/>
      <c r="T808" s="9"/>
      <c r="U808" s="9"/>
      <c r="V808" s="9"/>
      <c r="W808" s="9"/>
      <c r="X808" s="9"/>
      <c r="Y808" s="9"/>
      <c r="Z808" s="9"/>
      <c r="AA808" s="9"/>
      <c r="AB808" s="9"/>
      <c r="AC808" s="9"/>
    </row>
    <row r="809" ht="15.75" customHeight="1">
      <c r="B809" s="106"/>
      <c r="C809" s="107"/>
      <c r="D809" s="108"/>
      <c r="E809" s="109"/>
      <c r="F809" s="107"/>
      <c r="G809" s="110"/>
      <c r="H809" s="109"/>
      <c r="I809" s="9"/>
      <c r="J809" s="9"/>
      <c r="K809" s="9"/>
      <c r="L809" s="9"/>
      <c r="M809" s="9"/>
      <c r="N809" s="9"/>
      <c r="O809" s="9"/>
      <c r="P809" s="9"/>
      <c r="Q809" s="9"/>
      <c r="R809" s="9"/>
      <c r="S809" s="9"/>
      <c r="T809" s="9"/>
      <c r="U809" s="9"/>
      <c r="V809" s="9"/>
      <c r="W809" s="9"/>
      <c r="X809" s="9"/>
      <c r="Y809" s="9"/>
      <c r="Z809" s="9"/>
      <c r="AA809" s="9"/>
      <c r="AB809" s="9"/>
      <c r="AC809" s="9"/>
    </row>
    <row r="810" ht="15.75" customHeight="1">
      <c r="B810" s="106"/>
      <c r="C810" s="107"/>
      <c r="D810" s="108"/>
      <c r="E810" s="109"/>
      <c r="F810" s="107"/>
      <c r="G810" s="110"/>
      <c r="H810" s="109"/>
      <c r="I810" s="9"/>
      <c r="J810" s="9"/>
      <c r="K810" s="9"/>
      <c r="L810" s="9"/>
      <c r="M810" s="9"/>
      <c r="N810" s="9"/>
      <c r="O810" s="9"/>
      <c r="P810" s="9"/>
      <c r="Q810" s="9"/>
      <c r="R810" s="9"/>
      <c r="S810" s="9"/>
      <c r="T810" s="9"/>
      <c r="U810" s="9"/>
      <c r="V810" s="9"/>
      <c r="W810" s="9"/>
      <c r="X810" s="9"/>
      <c r="Y810" s="9"/>
      <c r="Z810" s="9"/>
      <c r="AA810" s="9"/>
      <c r="AB810" s="9"/>
      <c r="AC810" s="9"/>
    </row>
    <row r="811" ht="15.75" customHeight="1">
      <c r="B811" s="106"/>
      <c r="C811" s="107"/>
      <c r="D811" s="108"/>
      <c r="E811" s="109"/>
      <c r="F811" s="107"/>
      <c r="G811" s="110"/>
      <c r="H811" s="109"/>
      <c r="I811" s="9"/>
      <c r="J811" s="9"/>
      <c r="K811" s="9"/>
      <c r="L811" s="9"/>
      <c r="M811" s="9"/>
      <c r="N811" s="9"/>
      <c r="O811" s="9"/>
      <c r="P811" s="9"/>
      <c r="Q811" s="9"/>
      <c r="R811" s="9"/>
      <c r="S811" s="9"/>
      <c r="T811" s="9"/>
      <c r="U811" s="9"/>
      <c r="V811" s="9"/>
      <c r="W811" s="9"/>
      <c r="X811" s="9"/>
      <c r="Y811" s="9"/>
      <c r="Z811" s="9"/>
      <c r="AA811" s="9"/>
      <c r="AB811" s="9"/>
      <c r="AC811" s="9"/>
    </row>
    <row r="812" ht="15.75" customHeight="1">
      <c r="B812" s="106"/>
      <c r="C812" s="107"/>
      <c r="D812" s="108"/>
      <c r="E812" s="109"/>
      <c r="F812" s="107"/>
      <c r="G812" s="110"/>
      <c r="H812" s="109"/>
      <c r="I812" s="9"/>
      <c r="J812" s="9"/>
      <c r="K812" s="9"/>
      <c r="L812" s="9"/>
      <c r="M812" s="9"/>
      <c r="N812" s="9"/>
      <c r="O812" s="9"/>
      <c r="P812" s="9"/>
      <c r="Q812" s="9"/>
      <c r="R812" s="9"/>
      <c r="S812" s="9"/>
      <c r="T812" s="9"/>
      <c r="U812" s="9"/>
      <c r="V812" s="9"/>
      <c r="W812" s="9"/>
      <c r="X812" s="9"/>
      <c r="Y812" s="9"/>
      <c r="Z812" s="9"/>
      <c r="AA812" s="9"/>
      <c r="AB812" s="9"/>
      <c r="AC812" s="9"/>
    </row>
    <row r="813" ht="15.75" customHeight="1">
      <c r="B813" s="106"/>
      <c r="C813" s="107"/>
      <c r="D813" s="108"/>
      <c r="E813" s="109"/>
      <c r="F813" s="107"/>
      <c r="G813" s="110"/>
      <c r="H813" s="109"/>
      <c r="I813" s="9"/>
      <c r="J813" s="9"/>
      <c r="K813" s="9"/>
      <c r="L813" s="9"/>
      <c r="M813" s="9"/>
      <c r="N813" s="9"/>
      <c r="O813" s="9"/>
      <c r="P813" s="9"/>
      <c r="Q813" s="9"/>
      <c r="R813" s="9"/>
      <c r="S813" s="9"/>
      <c r="T813" s="9"/>
      <c r="U813" s="9"/>
      <c r="V813" s="9"/>
      <c r="W813" s="9"/>
      <c r="X813" s="9"/>
      <c r="Y813" s="9"/>
      <c r="Z813" s="9"/>
      <c r="AA813" s="9"/>
      <c r="AB813" s="9"/>
      <c r="AC813" s="9"/>
    </row>
    <row r="814" ht="15.75" customHeight="1">
      <c r="B814" s="106"/>
      <c r="C814" s="107"/>
      <c r="D814" s="108"/>
      <c r="E814" s="109"/>
      <c r="F814" s="107"/>
      <c r="G814" s="110"/>
      <c r="H814" s="109"/>
      <c r="I814" s="9"/>
      <c r="J814" s="9"/>
      <c r="K814" s="9"/>
      <c r="L814" s="9"/>
      <c r="M814" s="9"/>
      <c r="N814" s="9"/>
      <c r="O814" s="9"/>
      <c r="P814" s="9"/>
      <c r="Q814" s="9"/>
      <c r="R814" s="9"/>
      <c r="S814" s="9"/>
      <c r="T814" s="9"/>
      <c r="U814" s="9"/>
      <c r="V814" s="9"/>
      <c r="W814" s="9"/>
      <c r="X814" s="9"/>
      <c r="Y814" s="9"/>
      <c r="Z814" s="9"/>
      <c r="AA814" s="9"/>
      <c r="AB814" s="9"/>
      <c r="AC814" s="9"/>
    </row>
    <row r="815" ht="15.75" customHeight="1">
      <c r="B815" s="106"/>
      <c r="C815" s="107"/>
      <c r="D815" s="108"/>
      <c r="E815" s="109"/>
      <c r="F815" s="107"/>
      <c r="G815" s="110"/>
      <c r="H815" s="109"/>
      <c r="I815" s="9"/>
      <c r="J815" s="9"/>
      <c r="K815" s="9"/>
      <c r="L815" s="9"/>
      <c r="M815" s="9"/>
      <c r="N815" s="9"/>
      <c r="O815" s="9"/>
      <c r="P815" s="9"/>
      <c r="Q815" s="9"/>
      <c r="R815" s="9"/>
      <c r="S815" s="9"/>
      <c r="T815" s="9"/>
      <c r="U815" s="9"/>
      <c r="V815" s="9"/>
      <c r="W815" s="9"/>
      <c r="X815" s="9"/>
      <c r="Y815" s="9"/>
      <c r="Z815" s="9"/>
      <c r="AA815" s="9"/>
      <c r="AB815" s="9"/>
      <c r="AC815" s="9"/>
    </row>
    <row r="816" ht="15.75" customHeight="1">
      <c r="B816" s="106"/>
      <c r="C816" s="107"/>
      <c r="D816" s="108"/>
      <c r="E816" s="109"/>
      <c r="F816" s="107"/>
      <c r="G816" s="110"/>
      <c r="H816" s="109"/>
      <c r="I816" s="9"/>
      <c r="J816" s="9"/>
      <c r="K816" s="9"/>
      <c r="L816" s="9"/>
      <c r="M816" s="9"/>
      <c r="N816" s="9"/>
      <c r="O816" s="9"/>
      <c r="P816" s="9"/>
      <c r="Q816" s="9"/>
      <c r="R816" s="9"/>
      <c r="S816" s="9"/>
      <c r="T816" s="9"/>
      <c r="U816" s="9"/>
      <c r="V816" s="9"/>
      <c r="W816" s="9"/>
      <c r="X816" s="9"/>
      <c r="Y816" s="9"/>
      <c r="Z816" s="9"/>
      <c r="AA816" s="9"/>
      <c r="AB816" s="9"/>
      <c r="AC816" s="9"/>
    </row>
    <row r="817" ht="15.75" customHeight="1">
      <c r="B817" s="106"/>
      <c r="C817" s="107"/>
      <c r="D817" s="108"/>
      <c r="E817" s="109"/>
      <c r="F817" s="107"/>
      <c r="G817" s="110"/>
      <c r="H817" s="109"/>
      <c r="I817" s="9"/>
      <c r="J817" s="9"/>
      <c r="K817" s="9"/>
      <c r="L817" s="9"/>
      <c r="M817" s="9"/>
      <c r="N817" s="9"/>
      <c r="O817" s="9"/>
      <c r="P817" s="9"/>
      <c r="Q817" s="9"/>
      <c r="R817" s="9"/>
      <c r="S817" s="9"/>
      <c r="T817" s="9"/>
      <c r="U817" s="9"/>
      <c r="V817" s="9"/>
      <c r="W817" s="9"/>
      <c r="X817" s="9"/>
      <c r="Y817" s="9"/>
      <c r="Z817" s="9"/>
      <c r="AA817" s="9"/>
      <c r="AB817" s="9"/>
      <c r="AC817" s="9"/>
    </row>
    <row r="818" ht="15.75" customHeight="1">
      <c r="B818" s="106"/>
      <c r="C818" s="107"/>
      <c r="D818" s="108"/>
      <c r="E818" s="109"/>
      <c r="F818" s="107"/>
      <c r="G818" s="110"/>
      <c r="H818" s="109"/>
      <c r="I818" s="9"/>
      <c r="J818" s="9"/>
      <c r="K818" s="9"/>
      <c r="L818" s="9"/>
      <c r="M818" s="9"/>
      <c r="N818" s="9"/>
      <c r="O818" s="9"/>
      <c r="P818" s="9"/>
      <c r="Q818" s="9"/>
      <c r="R818" s="9"/>
      <c r="S818" s="9"/>
      <c r="T818" s="9"/>
      <c r="U818" s="9"/>
      <c r="V818" s="9"/>
      <c r="W818" s="9"/>
      <c r="X818" s="9"/>
      <c r="Y818" s="9"/>
      <c r="Z818" s="9"/>
      <c r="AA818" s="9"/>
      <c r="AB818" s="9"/>
      <c r="AC818" s="9"/>
    </row>
    <row r="819" ht="15.75" customHeight="1">
      <c r="B819" s="106"/>
      <c r="C819" s="107"/>
      <c r="D819" s="108"/>
      <c r="E819" s="109"/>
      <c r="F819" s="107"/>
      <c r="G819" s="110"/>
      <c r="H819" s="109"/>
      <c r="I819" s="9"/>
      <c r="J819" s="9"/>
      <c r="K819" s="9"/>
      <c r="L819" s="9"/>
      <c r="M819" s="9"/>
      <c r="N819" s="9"/>
      <c r="O819" s="9"/>
      <c r="P819" s="9"/>
      <c r="Q819" s="9"/>
      <c r="R819" s="9"/>
      <c r="S819" s="9"/>
      <c r="T819" s="9"/>
      <c r="U819" s="9"/>
      <c r="V819" s="9"/>
      <c r="W819" s="9"/>
      <c r="X819" s="9"/>
      <c r="Y819" s="9"/>
      <c r="Z819" s="9"/>
      <c r="AA819" s="9"/>
      <c r="AB819" s="9"/>
      <c r="AC819" s="9"/>
    </row>
    <row r="820" ht="15.75" customHeight="1">
      <c r="B820" s="106"/>
      <c r="C820" s="107"/>
      <c r="D820" s="108"/>
      <c r="E820" s="109"/>
      <c r="F820" s="107"/>
      <c r="G820" s="110"/>
      <c r="H820" s="109"/>
      <c r="I820" s="9"/>
      <c r="J820" s="9"/>
      <c r="K820" s="9"/>
      <c r="L820" s="9"/>
      <c r="M820" s="9"/>
      <c r="N820" s="9"/>
      <c r="O820" s="9"/>
      <c r="P820" s="9"/>
      <c r="Q820" s="9"/>
      <c r="R820" s="9"/>
      <c r="S820" s="9"/>
      <c r="T820" s="9"/>
      <c r="U820" s="9"/>
      <c r="V820" s="9"/>
      <c r="W820" s="9"/>
      <c r="X820" s="9"/>
      <c r="Y820" s="9"/>
      <c r="Z820" s="9"/>
      <c r="AA820" s="9"/>
      <c r="AB820" s="9"/>
      <c r="AC820" s="9"/>
    </row>
    <row r="821" ht="15.75" customHeight="1">
      <c r="B821" s="106"/>
      <c r="C821" s="107"/>
      <c r="D821" s="108"/>
      <c r="E821" s="109"/>
      <c r="F821" s="107"/>
      <c r="G821" s="110"/>
      <c r="H821" s="109"/>
      <c r="I821" s="9"/>
      <c r="J821" s="9"/>
      <c r="K821" s="9"/>
      <c r="L821" s="9"/>
      <c r="M821" s="9"/>
      <c r="N821" s="9"/>
      <c r="O821" s="9"/>
      <c r="P821" s="9"/>
      <c r="Q821" s="9"/>
      <c r="R821" s="9"/>
      <c r="S821" s="9"/>
      <c r="T821" s="9"/>
      <c r="U821" s="9"/>
      <c r="V821" s="9"/>
      <c r="W821" s="9"/>
      <c r="X821" s="9"/>
      <c r="Y821" s="9"/>
      <c r="Z821" s="9"/>
      <c r="AA821" s="9"/>
      <c r="AB821" s="9"/>
      <c r="AC821" s="9"/>
    </row>
    <row r="822" ht="15.75" customHeight="1">
      <c r="B822" s="106"/>
      <c r="C822" s="107"/>
      <c r="D822" s="108"/>
      <c r="E822" s="109"/>
      <c r="F822" s="107"/>
      <c r="G822" s="110"/>
      <c r="H822" s="109"/>
      <c r="I822" s="9"/>
      <c r="J822" s="9"/>
      <c r="K822" s="9"/>
      <c r="L822" s="9"/>
      <c r="M822" s="9"/>
      <c r="N822" s="9"/>
      <c r="O822" s="9"/>
      <c r="P822" s="9"/>
      <c r="Q822" s="9"/>
      <c r="R822" s="9"/>
      <c r="S822" s="9"/>
      <c r="T822" s="9"/>
      <c r="U822" s="9"/>
      <c r="V822" s="9"/>
      <c r="W822" s="9"/>
      <c r="X822" s="9"/>
      <c r="Y822" s="9"/>
      <c r="Z822" s="9"/>
      <c r="AA822" s="9"/>
      <c r="AB822" s="9"/>
      <c r="AC822" s="9"/>
    </row>
    <row r="823" ht="15.75" customHeight="1">
      <c r="B823" s="106"/>
      <c r="C823" s="107"/>
      <c r="D823" s="108"/>
      <c r="E823" s="109"/>
      <c r="F823" s="107"/>
      <c r="G823" s="110"/>
      <c r="H823" s="109"/>
      <c r="I823" s="9"/>
      <c r="J823" s="9"/>
      <c r="K823" s="9"/>
      <c r="L823" s="9"/>
      <c r="M823" s="9"/>
      <c r="N823" s="9"/>
      <c r="O823" s="9"/>
      <c r="P823" s="9"/>
      <c r="Q823" s="9"/>
      <c r="R823" s="9"/>
      <c r="S823" s="9"/>
      <c r="T823" s="9"/>
      <c r="U823" s="9"/>
      <c r="V823" s="9"/>
      <c r="W823" s="9"/>
      <c r="X823" s="9"/>
      <c r="Y823" s="9"/>
      <c r="Z823" s="9"/>
      <c r="AA823" s="9"/>
      <c r="AB823" s="9"/>
      <c r="AC823" s="9"/>
    </row>
    <row r="824" ht="15.75" customHeight="1">
      <c r="B824" s="106"/>
      <c r="C824" s="107"/>
      <c r="D824" s="108"/>
      <c r="E824" s="109"/>
      <c r="F824" s="107"/>
      <c r="G824" s="110"/>
      <c r="H824" s="109"/>
      <c r="I824" s="9"/>
      <c r="J824" s="9"/>
      <c r="K824" s="9"/>
      <c r="L824" s="9"/>
      <c r="M824" s="9"/>
      <c r="N824" s="9"/>
      <c r="O824" s="9"/>
      <c r="P824" s="9"/>
      <c r="Q824" s="9"/>
      <c r="R824" s="9"/>
      <c r="S824" s="9"/>
      <c r="T824" s="9"/>
      <c r="U824" s="9"/>
      <c r="V824" s="9"/>
      <c r="W824" s="9"/>
      <c r="X824" s="9"/>
      <c r="Y824" s="9"/>
      <c r="Z824" s="9"/>
      <c r="AA824" s="9"/>
      <c r="AB824" s="9"/>
      <c r="AC824" s="9"/>
    </row>
    <row r="825" ht="15.75" customHeight="1">
      <c r="B825" s="106"/>
      <c r="C825" s="107"/>
      <c r="D825" s="108"/>
      <c r="E825" s="109"/>
      <c r="F825" s="107"/>
      <c r="G825" s="110"/>
      <c r="H825" s="109"/>
      <c r="I825" s="9"/>
      <c r="J825" s="9"/>
      <c r="K825" s="9"/>
      <c r="L825" s="9"/>
      <c r="M825" s="9"/>
      <c r="N825" s="9"/>
      <c r="O825" s="9"/>
      <c r="P825" s="9"/>
      <c r="Q825" s="9"/>
      <c r="R825" s="9"/>
      <c r="S825" s="9"/>
      <c r="T825" s="9"/>
      <c r="U825" s="9"/>
      <c r="V825" s="9"/>
      <c r="W825" s="9"/>
      <c r="X825" s="9"/>
      <c r="Y825" s="9"/>
      <c r="Z825" s="9"/>
      <c r="AA825" s="9"/>
      <c r="AB825" s="9"/>
      <c r="AC825" s="9"/>
    </row>
    <row r="826" ht="15.75" customHeight="1">
      <c r="B826" s="106"/>
      <c r="C826" s="107"/>
      <c r="D826" s="108"/>
      <c r="E826" s="109"/>
      <c r="F826" s="107"/>
      <c r="G826" s="110"/>
      <c r="H826" s="109"/>
      <c r="I826" s="9"/>
      <c r="J826" s="9"/>
      <c r="K826" s="9"/>
      <c r="L826" s="9"/>
      <c r="M826" s="9"/>
      <c r="N826" s="9"/>
      <c r="O826" s="9"/>
      <c r="P826" s="9"/>
      <c r="Q826" s="9"/>
      <c r="R826" s="9"/>
      <c r="S826" s="9"/>
      <c r="T826" s="9"/>
      <c r="U826" s="9"/>
      <c r="V826" s="9"/>
      <c r="W826" s="9"/>
      <c r="X826" s="9"/>
      <c r="Y826" s="9"/>
      <c r="Z826" s="9"/>
      <c r="AA826" s="9"/>
      <c r="AB826" s="9"/>
      <c r="AC826" s="9"/>
    </row>
    <row r="827" ht="15.75" customHeight="1">
      <c r="B827" s="106"/>
      <c r="C827" s="107"/>
      <c r="D827" s="108"/>
      <c r="E827" s="109"/>
      <c r="F827" s="107"/>
      <c r="G827" s="110"/>
      <c r="H827" s="109"/>
      <c r="I827" s="9"/>
      <c r="J827" s="9"/>
      <c r="K827" s="9"/>
      <c r="L827" s="9"/>
      <c r="M827" s="9"/>
      <c r="N827" s="9"/>
      <c r="O827" s="9"/>
      <c r="P827" s="9"/>
      <c r="Q827" s="9"/>
      <c r="R827" s="9"/>
      <c r="S827" s="9"/>
      <c r="T827" s="9"/>
      <c r="U827" s="9"/>
      <c r="V827" s="9"/>
      <c r="W827" s="9"/>
      <c r="X827" s="9"/>
      <c r="Y827" s="9"/>
      <c r="Z827" s="9"/>
      <c r="AA827" s="9"/>
      <c r="AB827" s="9"/>
      <c r="AC827" s="9"/>
    </row>
    <row r="828" ht="15.75" customHeight="1">
      <c r="B828" s="106"/>
      <c r="C828" s="107"/>
      <c r="D828" s="108"/>
      <c r="E828" s="109"/>
      <c r="F828" s="107"/>
      <c r="G828" s="110"/>
      <c r="H828" s="109"/>
      <c r="I828" s="9"/>
      <c r="J828" s="9"/>
      <c r="K828" s="9"/>
      <c r="L828" s="9"/>
      <c r="M828" s="9"/>
      <c r="N828" s="9"/>
      <c r="O828" s="9"/>
      <c r="P828" s="9"/>
      <c r="Q828" s="9"/>
      <c r="R828" s="9"/>
      <c r="S828" s="9"/>
      <c r="T828" s="9"/>
      <c r="U828" s="9"/>
      <c r="V828" s="9"/>
      <c r="W828" s="9"/>
      <c r="X828" s="9"/>
      <c r="Y828" s="9"/>
      <c r="Z828" s="9"/>
      <c r="AA828" s="9"/>
      <c r="AB828" s="9"/>
      <c r="AC828" s="9"/>
    </row>
    <row r="829" ht="15.75" customHeight="1">
      <c r="B829" s="106"/>
      <c r="C829" s="107"/>
      <c r="D829" s="108"/>
      <c r="E829" s="109"/>
      <c r="F829" s="107"/>
      <c r="G829" s="110"/>
      <c r="H829" s="109"/>
      <c r="I829" s="9"/>
      <c r="J829" s="9"/>
      <c r="K829" s="9"/>
      <c r="L829" s="9"/>
      <c r="M829" s="9"/>
      <c r="N829" s="9"/>
      <c r="O829" s="9"/>
      <c r="P829" s="9"/>
      <c r="Q829" s="9"/>
      <c r="R829" s="9"/>
      <c r="S829" s="9"/>
      <c r="T829" s="9"/>
      <c r="U829" s="9"/>
      <c r="V829" s="9"/>
      <c r="W829" s="9"/>
      <c r="X829" s="9"/>
      <c r="Y829" s="9"/>
      <c r="Z829" s="9"/>
      <c r="AA829" s="9"/>
      <c r="AB829" s="9"/>
      <c r="AC829" s="9"/>
    </row>
    <row r="830" ht="15.75" customHeight="1">
      <c r="B830" s="106"/>
      <c r="C830" s="107"/>
      <c r="D830" s="108"/>
      <c r="E830" s="109"/>
      <c r="F830" s="107"/>
      <c r="G830" s="110"/>
      <c r="H830" s="109"/>
      <c r="I830" s="9"/>
      <c r="J830" s="9"/>
      <c r="K830" s="9"/>
      <c r="L830" s="9"/>
      <c r="M830" s="9"/>
      <c r="N830" s="9"/>
      <c r="O830" s="9"/>
      <c r="P830" s="9"/>
      <c r="Q830" s="9"/>
      <c r="R830" s="9"/>
      <c r="S830" s="9"/>
      <c r="T830" s="9"/>
      <c r="U830" s="9"/>
      <c r="V830" s="9"/>
      <c r="W830" s="9"/>
      <c r="X830" s="9"/>
      <c r="Y830" s="9"/>
      <c r="Z830" s="9"/>
      <c r="AA830" s="9"/>
      <c r="AB830" s="9"/>
      <c r="AC830" s="9"/>
    </row>
    <row r="831" ht="15.75" customHeight="1">
      <c r="B831" s="106"/>
      <c r="C831" s="107"/>
      <c r="D831" s="108"/>
      <c r="E831" s="109"/>
      <c r="F831" s="107"/>
      <c r="G831" s="110"/>
      <c r="H831" s="109"/>
      <c r="I831" s="9"/>
      <c r="J831" s="9"/>
      <c r="K831" s="9"/>
      <c r="L831" s="9"/>
      <c r="M831" s="9"/>
      <c r="N831" s="9"/>
      <c r="O831" s="9"/>
      <c r="P831" s="9"/>
      <c r="Q831" s="9"/>
      <c r="R831" s="9"/>
      <c r="S831" s="9"/>
      <c r="T831" s="9"/>
      <c r="U831" s="9"/>
      <c r="V831" s="9"/>
      <c r="W831" s="9"/>
      <c r="X831" s="9"/>
      <c r="Y831" s="9"/>
      <c r="Z831" s="9"/>
      <c r="AA831" s="9"/>
      <c r="AB831" s="9"/>
      <c r="AC831" s="9"/>
    </row>
    <row r="832" ht="15.75" customHeight="1">
      <c r="B832" s="106"/>
      <c r="C832" s="107"/>
      <c r="D832" s="108"/>
      <c r="E832" s="109"/>
      <c r="F832" s="107"/>
      <c r="G832" s="110"/>
      <c r="H832" s="109"/>
      <c r="I832" s="9"/>
      <c r="J832" s="9"/>
      <c r="K832" s="9"/>
      <c r="L832" s="9"/>
      <c r="M832" s="9"/>
      <c r="N832" s="9"/>
      <c r="O832" s="9"/>
      <c r="P832" s="9"/>
      <c r="Q832" s="9"/>
      <c r="R832" s="9"/>
      <c r="S832" s="9"/>
      <c r="T832" s="9"/>
      <c r="U832" s="9"/>
      <c r="V832" s="9"/>
      <c r="W832" s="9"/>
      <c r="X832" s="9"/>
      <c r="Y832" s="9"/>
      <c r="Z832" s="9"/>
      <c r="AA832" s="9"/>
      <c r="AB832" s="9"/>
      <c r="AC832" s="9"/>
    </row>
    <row r="833" ht="15.75" customHeight="1">
      <c r="B833" s="106"/>
      <c r="C833" s="107"/>
      <c r="D833" s="108"/>
      <c r="E833" s="109"/>
      <c r="F833" s="107"/>
      <c r="G833" s="110"/>
      <c r="H833" s="109"/>
      <c r="I833" s="9"/>
      <c r="J833" s="9"/>
      <c r="K833" s="9"/>
      <c r="L833" s="9"/>
      <c r="M833" s="9"/>
      <c r="N833" s="9"/>
      <c r="O833" s="9"/>
      <c r="P833" s="9"/>
      <c r="Q833" s="9"/>
      <c r="R833" s="9"/>
      <c r="S833" s="9"/>
      <c r="T833" s="9"/>
      <c r="U833" s="9"/>
      <c r="V833" s="9"/>
      <c r="W833" s="9"/>
      <c r="X833" s="9"/>
      <c r="Y833" s="9"/>
      <c r="Z833" s="9"/>
      <c r="AA833" s="9"/>
      <c r="AB833" s="9"/>
      <c r="AC833" s="9"/>
    </row>
    <row r="834" ht="15.75" customHeight="1">
      <c r="B834" s="106"/>
      <c r="C834" s="107"/>
      <c r="D834" s="108"/>
      <c r="E834" s="109"/>
      <c r="F834" s="107"/>
      <c r="G834" s="110"/>
      <c r="H834" s="109"/>
      <c r="I834" s="9"/>
      <c r="J834" s="9"/>
      <c r="K834" s="9"/>
      <c r="L834" s="9"/>
      <c r="M834" s="9"/>
      <c r="N834" s="9"/>
      <c r="O834" s="9"/>
      <c r="P834" s="9"/>
      <c r="Q834" s="9"/>
      <c r="R834" s="9"/>
      <c r="S834" s="9"/>
      <c r="T834" s="9"/>
      <c r="U834" s="9"/>
      <c r="V834" s="9"/>
      <c r="W834" s="9"/>
      <c r="X834" s="9"/>
      <c r="Y834" s="9"/>
      <c r="Z834" s="9"/>
      <c r="AA834" s="9"/>
      <c r="AB834" s="9"/>
      <c r="AC834" s="9"/>
    </row>
    <row r="835" ht="15.75" customHeight="1">
      <c r="B835" s="106"/>
      <c r="C835" s="107"/>
      <c r="D835" s="108"/>
      <c r="E835" s="109"/>
      <c r="F835" s="107"/>
      <c r="G835" s="110"/>
      <c r="H835" s="109"/>
      <c r="I835" s="9"/>
      <c r="J835" s="9"/>
      <c r="K835" s="9"/>
      <c r="L835" s="9"/>
      <c r="M835" s="9"/>
      <c r="N835" s="9"/>
      <c r="O835" s="9"/>
      <c r="P835" s="9"/>
      <c r="Q835" s="9"/>
      <c r="R835" s="9"/>
      <c r="S835" s="9"/>
      <c r="T835" s="9"/>
      <c r="U835" s="9"/>
      <c r="V835" s="9"/>
      <c r="W835" s="9"/>
      <c r="X835" s="9"/>
      <c r="Y835" s="9"/>
      <c r="Z835" s="9"/>
      <c r="AA835" s="9"/>
      <c r="AB835" s="9"/>
      <c r="AC835" s="9"/>
    </row>
    <row r="836" ht="15.75" customHeight="1">
      <c r="B836" s="106"/>
      <c r="C836" s="107"/>
      <c r="D836" s="108"/>
      <c r="E836" s="109"/>
      <c r="F836" s="107"/>
      <c r="G836" s="110"/>
      <c r="H836" s="109"/>
      <c r="I836" s="9"/>
      <c r="J836" s="9"/>
      <c r="K836" s="9"/>
      <c r="L836" s="9"/>
      <c r="M836" s="9"/>
      <c r="N836" s="9"/>
      <c r="O836" s="9"/>
      <c r="P836" s="9"/>
      <c r="Q836" s="9"/>
      <c r="R836" s="9"/>
      <c r="S836" s="9"/>
      <c r="T836" s="9"/>
      <c r="U836" s="9"/>
      <c r="V836" s="9"/>
      <c r="W836" s="9"/>
      <c r="X836" s="9"/>
      <c r="Y836" s="9"/>
      <c r="Z836" s="9"/>
      <c r="AA836" s="9"/>
      <c r="AB836" s="9"/>
      <c r="AC836" s="9"/>
    </row>
    <row r="837" ht="15.75" customHeight="1">
      <c r="B837" s="106"/>
      <c r="C837" s="107"/>
      <c r="D837" s="108"/>
      <c r="E837" s="109"/>
      <c r="F837" s="107"/>
      <c r="G837" s="110"/>
      <c r="H837" s="109"/>
      <c r="I837" s="9"/>
      <c r="J837" s="9"/>
      <c r="K837" s="9"/>
      <c r="L837" s="9"/>
      <c r="M837" s="9"/>
      <c r="N837" s="9"/>
      <c r="O837" s="9"/>
      <c r="P837" s="9"/>
      <c r="Q837" s="9"/>
      <c r="R837" s="9"/>
      <c r="S837" s="9"/>
      <c r="T837" s="9"/>
      <c r="U837" s="9"/>
      <c r="V837" s="9"/>
      <c r="W837" s="9"/>
      <c r="X837" s="9"/>
      <c r="Y837" s="9"/>
      <c r="Z837" s="9"/>
      <c r="AA837" s="9"/>
      <c r="AB837" s="9"/>
      <c r="AC837" s="9"/>
    </row>
    <row r="838" ht="15.75" customHeight="1">
      <c r="B838" s="106"/>
      <c r="C838" s="107"/>
      <c r="D838" s="108"/>
      <c r="E838" s="109"/>
      <c r="F838" s="107"/>
      <c r="G838" s="110"/>
      <c r="H838" s="109"/>
      <c r="I838" s="9"/>
      <c r="J838" s="9"/>
      <c r="K838" s="9"/>
      <c r="L838" s="9"/>
      <c r="M838" s="9"/>
      <c r="N838" s="9"/>
      <c r="O838" s="9"/>
      <c r="P838" s="9"/>
      <c r="Q838" s="9"/>
      <c r="R838" s="9"/>
      <c r="S838" s="9"/>
      <c r="T838" s="9"/>
      <c r="U838" s="9"/>
      <c r="V838" s="9"/>
      <c r="W838" s="9"/>
      <c r="X838" s="9"/>
      <c r="Y838" s="9"/>
      <c r="Z838" s="9"/>
      <c r="AA838" s="9"/>
      <c r="AB838" s="9"/>
      <c r="AC838" s="9"/>
    </row>
    <row r="839" ht="15.75" customHeight="1">
      <c r="B839" s="106"/>
      <c r="C839" s="107"/>
      <c r="D839" s="108"/>
      <c r="E839" s="109"/>
      <c r="F839" s="107"/>
      <c r="G839" s="110"/>
      <c r="H839" s="109"/>
      <c r="I839" s="9"/>
      <c r="J839" s="9"/>
      <c r="K839" s="9"/>
      <c r="L839" s="9"/>
      <c r="M839" s="9"/>
      <c r="N839" s="9"/>
      <c r="O839" s="9"/>
      <c r="P839" s="9"/>
      <c r="Q839" s="9"/>
      <c r="R839" s="9"/>
      <c r="S839" s="9"/>
      <c r="T839" s="9"/>
      <c r="U839" s="9"/>
      <c r="V839" s="9"/>
      <c r="W839" s="9"/>
      <c r="X839" s="9"/>
      <c r="Y839" s="9"/>
      <c r="Z839" s="9"/>
      <c r="AA839" s="9"/>
      <c r="AB839" s="9"/>
      <c r="AC839" s="9"/>
    </row>
    <row r="840" ht="15.75" customHeight="1">
      <c r="B840" s="106"/>
      <c r="C840" s="107"/>
      <c r="D840" s="108"/>
      <c r="E840" s="109"/>
      <c r="F840" s="107"/>
      <c r="G840" s="110"/>
      <c r="H840" s="109"/>
      <c r="I840" s="9"/>
      <c r="J840" s="9"/>
      <c r="K840" s="9"/>
      <c r="L840" s="9"/>
      <c r="M840" s="9"/>
      <c r="N840" s="9"/>
      <c r="O840" s="9"/>
      <c r="P840" s="9"/>
      <c r="Q840" s="9"/>
      <c r="R840" s="9"/>
      <c r="S840" s="9"/>
      <c r="T840" s="9"/>
      <c r="U840" s="9"/>
      <c r="V840" s="9"/>
      <c r="W840" s="9"/>
      <c r="X840" s="9"/>
      <c r="Y840" s="9"/>
      <c r="Z840" s="9"/>
      <c r="AA840" s="9"/>
      <c r="AB840" s="9"/>
      <c r="AC840" s="9"/>
    </row>
    <row r="841" ht="15.75" customHeight="1">
      <c r="B841" s="106"/>
      <c r="C841" s="107"/>
      <c r="D841" s="108"/>
      <c r="E841" s="109"/>
      <c r="F841" s="107"/>
      <c r="G841" s="110"/>
      <c r="H841" s="109"/>
      <c r="I841" s="9"/>
      <c r="J841" s="9"/>
      <c r="K841" s="9"/>
      <c r="L841" s="9"/>
      <c r="M841" s="9"/>
      <c r="N841" s="9"/>
      <c r="O841" s="9"/>
      <c r="P841" s="9"/>
      <c r="Q841" s="9"/>
      <c r="R841" s="9"/>
      <c r="S841" s="9"/>
      <c r="T841" s="9"/>
      <c r="U841" s="9"/>
      <c r="V841" s="9"/>
      <c r="W841" s="9"/>
      <c r="X841" s="9"/>
      <c r="Y841" s="9"/>
      <c r="Z841" s="9"/>
      <c r="AA841" s="9"/>
      <c r="AB841" s="9"/>
      <c r="AC841" s="9"/>
    </row>
    <row r="842" ht="15.75" customHeight="1">
      <c r="B842" s="106"/>
      <c r="C842" s="107"/>
      <c r="D842" s="108"/>
      <c r="E842" s="109"/>
      <c r="F842" s="107"/>
      <c r="G842" s="110"/>
      <c r="H842" s="109"/>
      <c r="I842" s="9"/>
      <c r="J842" s="9"/>
      <c r="K842" s="9"/>
      <c r="L842" s="9"/>
      <c r="M842" s="9"/>
      <c r="N842" s="9"/>
      <c r="O842" s="9"/>
      <c r="P842" s="9"/>
      <c r="Q842" s="9"/>
      <c r="R842" s="9"/>
      <c r="S842" s="9"/>
      <c r="T842" s="9"/>
      <c r="U842" s="9"/>
      <c r="V842" s="9"/>
      <c r="W842" s="9"/>
      <c r="X842" s="9"/>
      <c r="Y842" s="9"/>
      <c r="Z842" s="9"/>
      <c r="AA842" s="9"/>
      <c r="AB842" s="9"/>
      <c r="AC842" s="9"/>
    </row>
    <row r="843" ht="15.75" customHeight="1">
      <c r="B843" s="106"/>
      <c r="C843" s="107"/>
      <c r="D843" s="108"/>
      <c r="E843" s="109"/>
      <c r="F843" s="107"/>
      <c r="G843" s="110"/>
      <c r="H843" s="109"/>
      <c r="I843" s="9"/>
      <c r="J843" s="9"/>
      <c r="K843" s="9"/>
      <c r="L843" s="9"/>
      <c r="M843" s="9"/>
      <c r="N843" s="9"/>
      <c r="O843" s="9"/>
      <c r="P843" s="9"/>
      <c r="Q843" s="9"/>
      <c r="R843" s="9"/>
      <c r="S843" s="9"/>
      <c r="T843" s="9"/>
      <c r="U843" s="9"/>
      <c r="V843" s="9"/>
      <c r="W843" s="9"/>
      <c r="X843" s="9"/>
      <c r="Y843" s="9"/>
      <c r="Z843" s="9"/>
      <c r="AA843" s="9"/>
      <c r="AB843" s="9"/>
      <c r="AC843" s="9"/>
    </row>
    <row r="844" ht="15.75" customHeight="1">
      <c r="B844" s="106"/>
      <c r="C844" s="107"/>
      <c r="D844" s="108"/>
      <c r="E844" s="109"/>
      <c r="F844" s="107"/>
      <c r="G844" s="110"/>
      <c r="H844" s="109"/>
      <c r="I844" s="9"/>
      <c r="J844" s="9"/>
      <c r="K844" s="9"/>
      <c r="L844" s="9"/>
      <c r="M844" s="9"/>
      <c r="N844" s="9"/>
      <c r="O844" s="9"/>
      <c r="P844" s="9"/>
      <c r="Q844" s="9"/>
      <c r="R844" s="9"/>
      <c r="S844" s="9"/>
      <c r="T844" s="9"/>
      <c r="U844" s="9"/>
      <c r="V844" s="9"/>
      <c r="W844" s="9"/>
      <c r="X844" s="9"/>
      <c r="Y844" s="9"/>
      <c r="Z844" s="9"/>
      <c r="AA844" s="9"/>
      <c r="AB844" s="9"/>
      <c r="AC844" s="9"/>
    </row>
    <row r="845" ht="15.75" customHeight="1">
      <c r="B845" s="106"/>
      <c r="C845" s="107"/>
      <c r="D845" s="108"/>
      <c r="E845" s="109"/>
      <c r="F845" s="107"/>
      <c r="G845" s="110"/>
      <c r="H845" s="109"/>
      <c r="I845" s="9"/>
      <c r="J845" s="9"/>
      <c r="K845" s="9"/>
      <c r="L845" s="9"/>
      <c r="M845" s="9"/>
      <c r="N845" s="9"/>
      <c r="O845" s="9"/>
      <c r="P845" s="9"/>
      <c r="Q845" s="9"/>
      <c r="R845" s="9"/>
      <c r="S845" s="9"/>
      <c r="T845" s="9"/>
      <c r="U845" s="9"/>
      <c r="V845" s="9"/>
      <c r="W845" s="9"/>
      <c r="X845" s="9"/>
      <c r="Y845" s="9"/>
      <c r="Z845" s="9"/>
      <c r="AA845" s="9"/>
      <c r="AB845" s="9"/>
      <c r="AC845" s="9"/>
    </row>
    <row r="846" ht="15.75" customHeight="1">
      <c r="B846" s="106"/>
      <c r="C846" s="107"/>
      <c r="D846" s="108"/>
      <c r="E846" s="109"/>
      <c r="F846" s="107"/>
      <c r="G846" s="110"/>
      <c r="H846" s="109"/>
      <c r="I846" s="9"/>
      <c r="J846" s="9"/>
      <c r="K846" s="9"/>
      <c r="L846" s="9"/>
      <c r="M846" s="9"/>
      <c r="N846" s="9"/>
      <c r="O846" s="9"/>
      <c r="P846" s="9"/>
      <c r="Q846" s="9"/>
      <c r="R846" s="9"/>
      <c r="S846" s="9"/>
      <c r="T846" s="9"/>
      <c r="U846" s="9"/>
      <c r="V846" s="9"/>
      <c r="W846" s="9"/>
      <c r="X846" s="9"/>
      <c r="Y846" s="9"/>
      <c r="Z846" s="9"/>
      <c r="AA846" s="9"/>
      <c r="AB846" s="9"/>
      <c r="AC846" s="9"/>
    </row>
    <row r="847" ht="15.75" customHeight="1">
      <c r="B847" s="106"/>
      <c r="C847" s="107"/>
      <c r="D847" s="108"/>
      <c r="E847" s="109"/>
      <c r="F847" s="107"/>
      <c r="G847" s="110"/>
      <c r="H847" s="109"/>
      <c r="I847" s="9"/>
      <c r="J847" s="9"/>
      <c r="K847" s="9"/>
      <c r="L847" s="9"/>
      <c r="M847" s="9"/>
      <c r="N847" s="9"/>
      <c r="O847" s="9"/>
      <c r="P847" s="9"/>
      <c r="Q847" s="9"/>
      <c r="R847" s="9"/>
      <c r="S847" s="9"/>
      <c r="T847" s="9"/>
      <c r="U847" s="9"/>
      <c r="V847" s="9"/>
      <c r="W847" s="9"/>
      <c r="X847" s="9"/>
      <c r="Y847" s="9"/>
      <c r="Z847" s="9"/>
      <c r="AA847" s="9"/>
      <c r="AB847" s="9"/>
      <c r="AC847" s="9"/>
    </row>
    <row r="848" ht="15.75" customHeight="1">
      <c r="B848" s="106"/>
      <c r="C848" s="107"/>
      <c r="D848" s="108"/>
      <c r="E848" s="109"/>
      <c r="F848" s="107"/>
      <c r="G848" s="110"/>
      <c r="H848" s="109"/>
      <c r="I848" s="9"/>
      <c r="J848" s="9"/>
      <c r="K848" s="9"/>
      <c r="L848" s="9"/>
      <c r="M848" s="9"/>
      <c r="N848" s="9"/>
      <c r="O848" s="9"/>
      <c r="P848" s="9"/>
      <c r="Q848" s="9"/>
      <c r="R848" s="9"/>
      <c r="S848" s="9"/>
      <c r="T848" s="9"/>
      <c r="U848" s="9"/>
      <c r="V848" s="9"/>
      <c r="W848" s="9"/>
      <c r="X848" s="9"/>
      <c r="Y848" s="9"/>
      <c r="Z848" s="9"/>
      <c r="AA848" s="9"/>
      <c r="AB848" s="9"/>
      <c r="AC848" s="9"/>
    </row>
    <row r="849" ht="15.75" customHeight="1">
      <c r="B849" s="106"/>
      <c r="C849" s="107"/>
      <c r="D849" s="108"/>
      <c r="E849" s="109"/>
      <c r="F849" s="107"/>
      <c r="G849" s="110"/>
      <c r="H849" s="109"/>
      <c r="I849" s="9"/>
      <c r="J849" s="9"/>
      <c r="K849" s="9"/>
      <c r="L849" s="9"/>
      <c r="M849" s="9"/>
      <c r="N849" s="9"/>
      <c r="O849" s="9"/>
      <c r="P849" s="9"/>
      <c r="Q849" s="9"/>
      <c r="R849" s="9"/>
      <c r="S849" s="9"/>
      <c r="T849" s="9"/>
      <c r="U849" s="9"/>
      <c r="V849" s="9"/>
      <c r="W849" s="9"/>
      <c r="X849" s="9"/>
      <c r="Y849" s="9"/>
      <c r="Z849" s="9"/>
      <c r="AA849" s="9"/>
      <c r="AB849" s="9"/>
      <c r="AC849" s="9"/>
    </row>
    <row r="850" ht="15.75" customHeight="1">
      <c r="B850" s="106"/>
      <c r="C850" s="107"/>
      <c r="D850" s="108"/>
      <c r="E850" s="109"/>
      <c r="F850" s="107"/>
      <c r="G850" s="110"/>
      <c r="H850" s="109"/>
      <c r="I850" s="9"/>
      <c r="J850" s="9"/>
      <c r="K850" s="9"/>
      <c r="L850" s="9"/>
      <c r="M850" s="9"/>
      <c r="N850" s="9"/>
      <c r="O850" s="9"/>
      <c r="P850" s="9"/>
      <c r="Q850" s="9"/>
      <c r="R850" s="9"/>
      <c r="S850" s="9"/>
      <c r="T850" s="9"/>
      <c r="U850" s="9"/>
      <c r="V850" s="9"/>
      <c r="W850" s="9"/>
      <c r="X850" s="9"/>
      <c r="Y850" s="9"/>
      <c r="Z850" s="9"/>
      <c r="AA850" s="9"/>
      <c r="AB850" s="9"/>
      <c r="AC850" s="9"/>
    </row>
    <row r="851" ht="15.75" customHeight="1">
      <c r="B851" s="106"/>
      <c r="C851" s="107"/>
      <c r="D851" s="108"/>
      <c r="E851" s="109"/>
      <c r="F851" s="107"/>
      <c r="G851" s="110"/>
      <c r="H851" s="109"/>
      <c r="I851" s="9"/>
      <c r="J851" s="9"/>
      <c r="K851" s="9"/>
      <c r="L851" s="9"/>
      <c r="M851" s="9"/>
      <c r="N851" s="9"/>
      <c r="O851" s="9"/>
      <c r="P851" s="9"/>
      <c r="Q851" s="9"/>
      <c r="R851" s="9"/>
      <c r="S851" s="9"/>
      <c r="T851" s="9"/>
      <c r="U851" s="9"/>
      <c r="V851" s="9"/>
      <c r="W851" s="9"/>
      <c r="X851" s="9"/>
      <c r="Y851" s="9"/>
      <c r="Z851" s="9"/>
      <c r="AA851" s="9"/>
      <c r="AB851" s="9"/>
      <c r="AC851" s="9"/>
    </row>
    <row r="852" ht="15.75" customHeight="1">
      <c r="B852" s="106"/>
      <c r="C852" s="107"/>
      <c r="D852" s="108"/>
      <c r="E852" s="109"/>
      <c r="F852" s="107"/>
      <c r="G852" s="110"/>
      <c r="H852" s="109"/>
      <c r="I852" s="9"/>
      <c r="J852" s="9"/>
      <c r="K852" s="9"/>
      <c r="L852" s="9"/>
      <c r="M852" s="9"/>
      <c r="N852" s="9"/>
      <c r="O852" s="9"/>
      <c r="P852" s="9"/>
      <c r="Q852" s="9"/>
      <c r="R852" s="9"/>
      <c r="S852" s="9"/>
      <c r="T852" s="9"/>
      <c r="U852" s="9"/>
      <c r="V852" s="9"/>
      <c r="W852" s="9"/>
      <c r="X852" s="9"/>
      <c r="Y852" s="9"/>
      <c r="Z852" s="9"/>
      <c r="AA852" s="9"/>
      <c r="AB852" s="9"/>
      <c r="AC852" s="9"/>
    </row>
    <row r="853" ht="15.75" customHeight="1">
      <c r="B853" s="106"/>
      <c r="C853" s="107"/>
      <c r="D853" s="108"/>
      <c r="E853" s="109"/>
      <c r="F853" s="107"/>
      <c r="G853" s="110"/>
      <c r="H853" s="109"/>
      <c r="I853" s="9"/>
      <c r="J853" s="9"/>
      <c r="K853" s="9"/>
      <c r="L853" s="9"/>
      <c r="M853" s="9"/>
      <c r="N853" s="9"/>
      <c r="O853" s="9"/>
      <c r="P853" s="9"/>
      <c r="Q853" s="9"/>
      <c r="R853" s="9"/>
      <c r="S853" s="9"/>
      <c r="T853" s="9"/>
      <c r="U853" s="9"/>
      <c r="V853" s="9"/>
      <c r="W853" s="9"/>
      <c r="X853" s="9"/>
      <c r="Y853" s="9"/>
      <c r="Z853" s="9"/>
      <c r="AA853" s="9"/>
      <c r="AB853" s="9"/>
      <c r="AC853" s="9"/>
    </row>
    <row r="854" ht="15.75" customHeight="1">
      <c r="B854" s="106"/>
      <c r="C854" s="107"/>
      <c r="D854" s="108"/>
      <c r="E854" s="109"/>
      <c r="F854" s="107"/>
      <c r="G854" s="110"/>
      <c r="H854" s="109"/>
      <c r="I854" s="9"/>
      <c r="J854" s="9"/>
      <c r="K854" s="9"/>
      <c r="L854" s="9"/>
      <c r="M854" s="9"/>
      <c r="N854" s="9"/>
      <c r="O854" s="9"/>
      <c r="P854" s="9"/>
      <c r="Q854" s="9"/>
      <c r="R854" s="9"/>
      <c r="S854" s="9"/>
      <c r="T854" s="9"/>
      <c r="U854" s="9"/>
      <c r="V854" s="9"/>
      <c r="W854" s="9"/>
      <c r="X854" s="9"/>
      <c r="Y854" s="9"/>
      <c r="Z854" s="9"/>
      <c r="AA854" s="9"/>
      <c r="AB854" s="9"/>
      <c r="AC854" s="9"/>
    </row>
    <row r="855" ht="15.75" customHeight="1">
      <c r="B855" s="106"/>
      <c r="C855" s="107"/>
      <c r="D855" s="108"/>
      <c r="E855" s="109"/>
      <c r="F855" s="107"/>
      <c r="G855" s="110"/>
      <c r="H855" s="109"/>
      <c r="I855" s="9"/>
      <c r="J855" s="9"/>
      <c r="K855" s="9"/>
      <c r="L855" s="9"/>
      <c r="M855" s="9"/>
      <c r="N855" s="9"/>
      <c r="O855" s="9"/>
      <c r="P855" s="9"/>
      <c r="Q855" s="9"/>
      <c r="R855" s="9"/>
      <c r="S855" s="9"/>
      <c r="T855" s="9"/>
      <c r="U855" s="9"/>
      <c r="V855" s="9"/>
      <c r="W855" s="9"/>
      <c r="X855" s="9"/>
      <c r="Y855" s="9"/>
      <c r="Z855" s="9"/>
      <c r="AA855" s="9"/>
      <c r="AB855" s="9"/>
      <c r="AC855" s="9"/>
    </row>
    <row r="856" ht="15.75" customHeight="1">
      <c r="B856" s="106"/>
      <c r="C856" s="107"/>
      <c r="D856" s="108"/>
      <c r="E856" s="109"/>
      <c r="F856" s="107"/>
      <c r="G856" s="110"/>
      <c r="H856" s="109"/>
      <c r="I856" s="9"/>
      <c r="J856" s="9"/>
      <c r="K856" s="9"/>
      <c r="L856" s="9"/>
      <c r="M856" s="9"/>
      <c r="N856" s="9"/>
      <c r="O856" s="9"/>
      <c r="P856" s="9"/>
      <c r="Q856" s="9"/>
      <c r="R856" s="9"/>
      <c r="S856" s="9"/>
      <c r="T856" s="9"/>
      <c r="U856" s="9"/>
      <c r="V856" s="9"/>
      <c r="W856" s="9"/>
      <c r="X856" s="9"/>
      <c r="Y856" s="9"/>
      <c r="Z856" s="9"/>
      <c r="AA856" s="9"/>
      <c r="AB856" s="9"/>
      <c r="AC856" s="9"/>
    </row>
    <row r="857" ht="15.75" customHeight="1">
      <c r="B857" s="106"/>
      <c r="C857" s="107"/>
      <c r="D857" s="108"/>
      <c r="E857" s="109"/>
      <c r="F857" s="107"/>
      <c r="G857" s="110"/>
      <c r="H857" s="109"/>
      <c r="I857" s="9"/>
      <c r="J857" s="9"/>
      <c r="K857" s="9"/>
      <c r="L857" s="9"/>
      <c r="M857" s="9"/>
      <c r="N857" s="9"/>
      <c r="O857" s="9"/>
      <c r="P857" s="9"/>
      <c r="Q857" s="9"/>
      <c r="R857" s="9"/>
      <c r="S857" s="9"/>
      <c r="T857" s="9"/>
      <c r="U857" s="9"/>
      <c r="V857" s="9"/>
      <c r="W857" s="9"/>
      <c r="X857" s="9"/>
      <c r="Y857" s="9"/>
      <c r="Z857" s="9"/>
      <c r="AA857" s="9"/>
      <c r="AB857" s="9"/>
      <c r="AC857" s="9"/>
    </row>
    <row r="858" ht="15.75" customHeight="1">
      <c r="B858" s="106"/>
      <c r="C858" s="107"/>
      <c r="D858" s="108"/>
      <c r="E858" s="109"/>
      <c r="F858" s="107"/>
      <c r="G858" s="110"/>
      <c r="H858" s="109"/>
      <c r="I858" s="9"/>
      <c r="J858" s="9"/>
      <c r="K858" s="9"/>
      <c r="L858" s="9"/>
      <c r="M858" s="9"/>
      <c r="N858" s="9"/>
      <c r="O858" s="9"/>
      <c r="P858" s="9"/>
      <c r="Q858" s="9"/>
      <c r="R858" s="9"/>
      <c r="S858" s="9"/>
      <c r="T858" s="9"/>
      <c r="U858" s="9"/>
      <c r="V858" s="9"/>
      <c r="W858" s="9"/>
      <c r="X858" s="9"/>
      <c r="Y858" s="9"/>
      <c r="Z858" s="9"/>
      <c r="AA858" s="9"/>
      <c r="AB858" s="9"/>
      <c r="AC858" s="9"/>
    </row>
    <row r="859" ht="15.75" customHeight="1">
      <c r="B859" s="106"/>
      <c r="C859" s="107"/>
      <c r="D859" s="108"/>
      <c r="E859" s="109"/>
      <c r="F859" s="107"/>
      <c r="G859" s="110"/>
      <c r="H859" s="109"/>
      <c r="I859" s="9"/>
      <c r="J859" s="9"/>
      <c r="K859" s="9"/>
      <c r="L859" s="9"/>
      <c r="M859" s="9"/>
      <c r="N859" s="9"/>
      <c r="O859" s="9"/>
      <c r="P859" s="9"/>
      <c r="Q859" s="9"/>
      <c r="R859" s="9"/>
      <c r="S859" s="9"/>
      <c r="T859" s="9"/>
      <c r="U859" s="9"/>
      <c r="V859" s="9"/>
      <c r="W859" s="9"/>
      <c r="X859" s="9"/>
      <c r="Y859" s="9"/>
      <c r="Z859" s="9"/>
      <c r="AA859" s="9"/>
      <c r="AB859" s="9"/>
      <c r="AC859" s="9"/>
    </row>
    <row r="860" ht="15.75" customHeight="1">
      <c r="B860" s="106"/>
      <c r="C860" s="107"/>
      <c r="D860" s="108"/>
      <c r="E860" s="109"/>
      <c r="F860" s="107"/>
      <c r="G860" s="110"/>
      <c r="H860" s="109"/>
      <c r="I860" s="9"/>
      <c r="J860" s="9"/>
      <c r="K860" s="9"/>
      <c r="L860" s="9"/>
      <c r="M860" s="9"/>
      <c r="N860" s="9"/>
      <c r="O860" s="9"/>
      <c r="P860" s="9"/>
      <c r="Q860" s="9"/>
      <c r="R860" s="9"/>
      <c r="S860" s="9"/>
      <c r="T860" s="9"/>
      <c r="U860" s="9"/>
      <c r="V860" s="9"/>
      <c r="W860" s="9"/>
      <c r="X860" s="9"/>
      <c r="Y860" s="9"/>
      <c r="Z860" s="9"/>
      <c r="AA860" s="9"/>
      <c r="AB860" s="9"/>
      <c r="AC860" s="9"/>
    </row>
    <row r="861" ht="15.75" customHeight="1">
      <c r="B861" s="106"/>
      <c r="C861" s="107"/>
      <c r="D861" s="108"/>
      <c r="E861" s="109"/>
      <c r="F861" s="107"/>
      <c r="G861" s="110"/>
      <c r="H861" s="109"/>
      <c r="I861" s="9"/>
      <c r="J861" s="9"/>
      <c r="K861" s="9"/>
      <c r="L861" s="9"/>
      <c r="M861" s="9"/>
      <c r="N861" s="9"/>
      <c r="O861" s="9"/>
      <c r="P861" s="9"/>
      <c r="Q861" s="9"/>
      <c r="R861" s="9"/>
      <c r="S861" s="9"/>
      <c r="T861" s="9"/>
      <c r="U861" s="9"/>
      <c r="V861" s="9"/>
      <c r="W861" s="9"/>
      <c r="X861" s="9"/>
      <c r="Y861" s="9"/>
      <c r="Z861" s="9"/>
      <c r="AA861" s="9"/>
      <c r="AB861" s="9"/>
      <c r="AC861" s="9"/>
    </row>
    <row r="862" ht="15.75" customHeight="1">
      <c r="B862" s="106"/>
      <c r="C862" s="107"/>
      <c r="D862" s="108"/>
      <c r="E862" s="109"/>
      <c r="F862" s="107"/>
      <c r="G862" s="110"/>
      <c r="H862" s="109"/>
      <c r="I862" s="9"/>
      <c r="J862" s="9"/>
      <c r="K862" s="9"/>
      <c r="L862" s="9"/>
      <c r="M862" s="9"/>
      <c r="N862" s="9"/>
      <c r="O862" s="9"/>
      <c r="P862" s="9"/>
      <c r="Q862" s="9"/>
      <c r="R862" s="9"/>
      <c r="S862" s="9"/>
      <c r="T862" s="9"/>
      <c r="U862" s="9"/>
      <c r="V862" s="9"/>
      <c r="W862" s="9"/>
      <c r="X862" s="9"/>
      <c r="Y862" s="9"/>
      <c r="Z862" s="9"/>
      <c r="AA862" s="9"/>
      <c r="AB862" s="9"/>
      <c r="AC862" s="9"/>
    </row>
    <row r="863" ht="15.75" customHeight="1">
      <c r="B863" s="106"/>
      <c r="C863" s="107"/>
      <c r="D863" s="108"/>
      <c r="E863" s="109"/>
      <c r="F863" s="107"/>
      <c r="G863" s="110"/>
      <c r="H863" s="109"/>
      <c r="I863" s="9"/>
      <c r="J863" s="9"/>
      <c r="K863" s="9"/>
      <c r="L863" s="9"/>
      <c r="M863" s="9"/>
      <c r="N863" s="9"/>
      <c r="O863" s="9"/>
      <c r="P863" s="9"/>
      <c r="Q863" s="9"/>
      <c r="R863" s="9"/>
      <c r="S863" s="9"/>
      <c r="T863" s="9"/>
      <c r="U863" s="9"/>
      <c r="V863" s="9"/>
      <c r="W863" s="9"/>
      <c r="X863" s="9"/>
      <c r="Y863" s="9"/>
      <c r="Z863" s="9"/>
      <c r="AA863" s="9"/>
      <c r="AB863" s="9"/>
      <c r="AC863" s="9"/>
    </row>
    <row r="864" ht="15.75" customHeight="1">
      <c r="B864" s="106"/>
      <c r="C864" s="107"/>
      <c r="D864" s="108"/>
      <c r="E864" s="109"/>
      <c r="F864" s="107"/>
      <c r="G864" s="110"/>
      <c r="H864" s="109"/>
      <c r="I864" s="9"/>
      <c r="J864" s="9"/>
      <c r="K864" s="9"/>
      <c r="L864" s="9"/>
      <c r="M864" s="9"/>
      <c r="N864" s="9"/>
      <c r="O864" s="9"/>
      <c r="P864" s="9"/>
      <c r="Q864" s="9"/>
      <c r="R864" s="9"/>
      <c r="S864" s="9"/>
      <c r="T864" s="9"/>
      <c r="U864" s="9"/>
      <c r="V864" s="9"/>
      <c r="W864" s="9"/>
      <c r="X864" s="9"/>
      <c r="Y864" s="9"/>
      <c r="Z864" s="9"/>
      <c r="AA864" s="9"/>
      <c r="AB864" s="9"/>
      <c r="AC864" s="9"/>
    </row>
    <row r="865" ht="15.75" customHeight="1">
      <c r="B865" s="106"/>
      <c r="C865" s="107"/>
      <c r="D865" s="108"/>
      <c r="E865" s="109"/>
      <c r="F865" s="107"/>
      <c r="G865" s="110"/>
      <c r="H865" s="109"/>
      <c r="I865" s="9"/>
      <c r="J865" s="9"/>
      <c r="K865" s="9"/>
      <c r="L865" s="9"/>
      <c r="M865" s="9"/>
      <c r="N865" s="9"/>
      <c r="O865" s="9"/>
      <c r="P865" s="9"/>
      <c r="Q865" s="9"/>
      <c r="R865" s="9"/>
      <c r="S865" s="9"/>
      <c r="T865" s="9"/>
      <c r="U865" s="9"/>
      <c r="V865" s="9"/>
      <c r="W865" s="9"/>
      <c r="X865" s="9"/>
      <c r="Y865" s="9"/>
      <c r="Z865" s="9"/>
      <c r="AA865" s="9"/>
      <c r="AB865" s="9"/>
      <c r="AC865" s="9"/>
    </row>
    <row r="866" ht="15.75" customHeight="1">
      <c r="B866" s="106"/>
      <c r="C866" s="107"/>
      <c r="D866" s="108"/>
      <c r="E866" s="109"/>
      <c r="F866" s="107"/>
      <c r="G866" s="110"/>
      <c r="H866" s="109"/>
      <c r="I866" s="9"/>
      <c r="J866" s="9"/>
      <c r="K866" s="9"/>
      <c r="L866" s="9"/>
      <c r="M866" s="9"/>
      <c r="N866" s="9"/>
      <c r="O866" s="9"/>
      <c r="P866" s="9"/>
      <c r="Q866" s="9"/>
      <c r="R866" s="9"/>
      <c r="S866" s="9"/>
      <c r="T866" s="9"/>
      <c r="U866" s="9"/>
      <c r="V866" s="9"/>
      <c r="W866" s="9"/>
      <c r="X866" s="9"/>
      <c r="Y866" s="9"/>
      <c r="Z866" s="9"/>
      <c r="AA866" s="9"/>
      <c r="AB866" s="9"/>
      <c r="AC866" s="9"/>
    </row>
    <row r="867" ht="15.75" customHeight="1">
      <c r="B867" s="106"/>
      <c r="C867" s="107"/>
      <c r="D867" s="108"/>
      <c r="E867" s="109"/>
      <c r="F867" s="107"/>
      <c r="G867" s="110"/>
      <c r="H867" s="109"/>
      <c r="I867" s="9"/>
      <c r="J867" s="9"/>
      <c r="K867" s="9"/>
      <c r="L867" s="9"/>
      <c r="M867" s="9"/>
      <c r="N867" s="9"/>
      <c r="O867" s="9"/>
      <c r="P867" s="9"/>
      <c r="Q867" s="9"/>
      <c r="R867" s="9"/>
      <c r="S867" s="9"/>
      <c r="T867" s="9"/>
      <c r="U867" s="9"/>
      <c r="V867" s="9"/>
      <c r="W867" s="9"/>
      <c r="X867" s="9"/>
      <c r="Y867" s="9"/>
      <c r="Z867" s="9"/>
      <c r="AA867" s="9"/>
      <c r="AB867" s="9"/>
      <c r="AC867" s="9"/>
    </row>
    <row r="868" ht="15.75" customHeight="1">
      <c r="B868" s="106"/>
      <c r="C868" s="107"/>
      <c r="D868" s="108"/>
      <c r="E868" s="109"/>
      <c r="F868" s="107"/>
      <c r="G868" s="110"/>
      <c r="H868" s="109"/>
      <c r="I868" s="9"/>
      <c r="J868" s="9"/>
      <c r="K868" s="9"/>
      <c r="L868" s="9"/>
      <c r="M868" s="9"/>
      <c r="N868" s="9"/>
      <c r="O868" s="9"/>
      <c r="P868" s="9"/>
      <c r="Q868" s="9"/>
      <c r="R868" s="9"/>
      <c r="S868" s="9"/>
      <c r="T868" s="9"/>
      <c r="U868" s="9"/>
      <c r="V868" s="9"/>
      <c r="W868" s="9"/>
      <c r="X868" s="9"/>
      <c r="Y868" s="9"/>
      <c r="Z868" s="9"/>
      <c r="AA868" s="9"/>
      <c r="AB868" s="9"/>
      <c r="AC868" s="9"/>
    </row>
    <row r="869" ht="15.75" customHeight="1">
      <c r="B869" s="106"/>
      <c r="C869" s="107"/>
      <c r="D869" s="108"/>
      <c r="E869" s="109"/>
      <c r="F869" s="107"/>
      <c r="G869" s="110"/>
      <c r="H869" s="109"/>
      <c r="I869" s="9"/>
      <c r="J869" s="9"/>
      <c r="K869" s="9"/>
      <c r="L869" s="9"/>
      <c r="M869" s="9"/>
      <c r="N869" s="9"/>
      <c r="O869" s="9"/>
      <c r="P869" s="9"/>
      <c r="Q869" s="9"/>
      <c r="R869" s="9"/>
      <c r="S869" s="9"/>
      <c r="T869" s="9"/>
      <c r="U869" s="9"/>
      <c r="V869" s="9"/>
      <c r="W869" s="9"/>
      <c r="X869" s="9"/>
      <c r="Y869" s="9"/>
      <c r="Z869" s="9"/>
      <c r="AA869" s="9"/>
      <c r="AB869" s="9"/>
      <c r="AC869" s="9"/>
    </row>
    <row r="870" ht="15.75" customHeight="1">
      <c r="B870" s="106"/>
      <c r="C870" s="107"/>
      <c r="D870" s="108"/>
      <c r="E870" s="109"/>
      <c r="F870" s="107"/>
      <c r="G870" s="110"/>
      <c r="H870" s="109"/>
      <c r="I870" s="9"/>
      <c r="J870" s="9"/>
      <c r="K870" s="9"/>
      <c r="L870" s="9"/>
      <c r="M870" s="9"/>
      <c r="N870" s="9"/>
      <c r="O870" s="9"/>
      <c r="P870" s="9"/>
      <c r="Q870" s="9"/>
      <c r="R870" s="9"/>
      <c r="S870" s="9"/>
      <c r="T870" s="9"/>
      <c r="U870" s="9"/>
      <c r="V870" s="9"/>
      <c r="W870" s="9"/>
      <c r="X870" s="9"/>
      <c r="Y870" s="9"/>
      <c r="Z870" s="9"/>
      <c r="AA870" s="9"/>
      <c r="AB870" s="9"/>
      <c r="AC870" s="9"/>
    </row>
    <row r="871" ht="15.75" customHeight="1">
      <c r="B871" s="106"/>
      <c r="C871" s="107"/>
      <c r="D871" s="108"/>
      <c r="E871" s="109"/>
      <c r="F871" s="107"/>
      <c r="G871" s="110"/>
      <c r="H871" s="109"/>
      <c r="I871" s="9"/>
      <c r="J871" s="9"/>
      <c r="K871" s="9"/>
      <c r="L871" s="9"/>
      <c r="M871" s="9"/>
      <c r="N871" s="9"/>
      <c r="O871" s="9"/>
      <c r="P871" s="9"/>
      <c r="Q871" s="9"/>
      <c r="R871" s="9"/>
      <c r="S871" s="9"/>
      <c r="T871" s="9"/>
      <c r="U871" s="9"/>
      <c r="V871" s="9"/>
      <c r="W871" s="9"/>
      <c r="X871" s="9"/>
      <c r="Y871" s="9"/>
      <c r="Z871" s="9"/>
      <c r="AA871" s="9"/>
      <c r="AB871" s="9"/>
      <c r="AC871" s="9"/>
    </row>
    <row r="872" ht="15.75" customHeight="1">
      <c r="B872" s="106"/>
      <c r="C872" s="107"/>
      <c r="D872" s="108"/>
      <c r="E872" s="109"/>
      <c r="F872" s="107"/>
      <c r="G872" s="110"/>
      <c r="H872" s="109"/>
      <c r="I872" s="9"/>
      <c r="J872" s="9"/>
      <c r="K872" s="9"/>
      <c r="L872" s="9"/>
      <c r="M872" s="9"/>
      <c r="N872" s="9"/>
      <c r="O872" s="9"/>
      <c r="P872" s="9"/>
      <c r="Q872" s="9"/>
      <c r="R872" s="9"/>
      <c r="S872" s="9"/>
      <c r="T872" s="9"/>
      <c r="U872" s="9"/>
      <c r="V872" s="9"/>
      <c r="W872" s="9"/>
      <c r="X872" s="9"/>
      <c r="Y872" s="9"/>
      <c r="Z872" s="9"/>
      <c r="AA872" s="9"/>
      <c r="AB872" s="9"/>
      <c r="AC872" s="9"/>
    </row>
    <row r="873" ht="15.75" customHeight="1">
      <c r="B873" s="106"/>
      <c r="C873" s="107"/>
      <c r="D873" s="108"/>
      <c r="E873" s="109"/>
      <c r="F873" s="107"/>
      <c r="G873" s="110"/>
      <c r="H873" s="109"/>
      <c r="I873" s="9"/>
      <c r="J873" s="9"/>
      <c r="K873" s="9"/>
      <c r="L873" s="9"/>
      <c r="M873" s="9"/>
      <c r="N873" s="9"/>
      <c r="O873" s="9"/>
      <c r="P873" s="9"/>
      <c r="Q873" s="9"/>
      <c r="R873" s="9"/>
      <c r="S873" s="9"/>
      <c r="T873" s="9"/>
      <c r="U873" s="9"/>
      <c r="V873" s="9"/>
      <c r="W873" s="9"/>
      <c r="X873" s="9"/>
      <c r="Y873" s="9"/>
      <c r="Z873" s="9"/>
      <c r="AA873" s="9"/>
      <c r="AB873" s="9"/>
      <c r="AC873" s="9"/>
    </row>
    <row r="874" ht="15.75" customHeight="1">
      <c r="B874" s="106"/>
      <c r="C874" s="107"/>
      <c r="D874" s="108"/>
      <c r="E874" s="109"/>
      <c r="F874" s="107"/>
      <c r="G874" s="110"/>
      <c r="H874" s="109"/>
      <c r="I874" s="9"/>
      <c r="J874" s="9"/>
      <c r="K874" s="9"/>
      <c r="L874" s="9"/>
      <c r="M874" s="9"/>
      <c r="N874" s="9"/>
      <c r="O874" s="9"/>
      <c r="P874" s="9"/>
      <c r="Q874" s="9"/>
      <c r="R874" s="9"/>
      <c r="S874" s="9"/>
      <c r="T874" s="9"/>
      <c r="U874" s="9"/>
      <c r="V874" s="9"/>
      <c r="W874" s="9"/>
      <c r="X874" s="9"/>
      <c r="Y874" s="9"/>
      <c r="Z874" s="9"/>
      <c r="AA874" s="9"/>
      <c r="AB874" s="9"/>
      <c r="AC874" s="9"/>
    </row>
    <row r="875" ht="15.75" customHeight="1">
      <c r="B875" s="106"/>
      <c r="C875" s="107"/>
      <c r="D875" s="108"/>
      <c r="E875" s="109"/>
      <c r="F875" s="107"/>
      <c r="G875" s="110"/>
      <c r="H875" s="109"/>
      <c r="I875" s="9"/>
      <c r="J875" s="9"/>
      <c r="K875" s="9"/>
      <c r="L875" s="9"/>
      <c r="M875" s="9"/>
      <c r="N875" s="9"/>
      <c r="O875" s="9"/>
      <c r="P875" s="9"/>
      <c r="Q875" s="9"/>
      <c r="R875" s="9"/>
      <c r="S875" s="9"/>
      <c r="T875" s="9"/>
      <c r="U875" s="9"/>
      <c r="V875" s="9"/>
      <c r="W875" s="9"/>
      <c r="X875" s="9"/>
      <c r="Y875" s="9"/>
      <c r="Z875" s="9"/>
      <c r="AA875" s="9"/>
      <c r="AB875" s="9"/>
      <c r="AC875" s="9"/>
    </row>
    <row r="876" ht="15.75" customHeight="1">
      <c r="B876" s="106"/>
      <c r="C876" s="107"/>
      <c r="D876" s="108"/>
      <c r="E876" s="109"/>
      <c r="F876" s="107"/>
      <c r="G876" s="110"/>
      <c r="H876" s="109"/>
      <c r="I876" s="9"/>
      <c r="J876" s="9"/>
      <c r="K876" s="9"/>
      <c r="L876" s="9"/>
      <c r="M876" s="9"/>
      <c r="N876" s="9"/>
      <c r="O876" s="9"/>
      <c r="P876" s="9"/>
      <c r="Q876" s="9"/>
      <c r="R876" s="9"/>
      <c r="S876" s="9"/>
      <c r="T876" s="9"/>
      <c r="U876" s="9"/>
      <c r="V876" s="9"/>
      <c r="W876" s="9"/>
      <c r="X876" s="9"/>
      <c r="Y876" s="9"/>
      <c r="Z876" s="9"/>
      <c r="AA876" s="9"/>
      <c r="AB876" s="9"/>
      <c r="AC876" s="9"/>
    </row>
    <row r="877" ht="15.75" customHeight="1">
      <c r="B877" s="106"/>
      <c r="C877" s="107"/>
      <c r="D877" s="108"/>
      <c r="E877" s="109"/>
      <c r="F877" s="107"/>
      <c r="G877" s="110"/>
      <c r="H877" s="109"/>
      <c r="I877" s="9"/>
      <c r="J877" s="9"/>
      <c r="K877" s="9"/>
      <c r="L877" s="9"/>
      <c r="M877" s="9"/>
      <c r="N877" s="9"/>
      <c r="O877" s="9"/>
      <c r="P877" s="9"/>
      <c r="Q877" s="9"/>
      <c r="R877" s="9"/>
      <c r="S877" s="9"/>
      <c r="T877" s="9"/>
      <c r="U877" s="9"/>
      <c r="V877" s="9"/>
      <c r="W877" s="9"/>
      <c r="X877" s="9"/>
      <c r="Y877" s="9"/>
      <c r="Z877" s="9"/>
      <c r="AA877" s="9"/>
      <c r="AB877" s="9"/>
      <c r="AC877" s="9"/>
    </row>
    <row r="878" ht="15.75" customHeight="1">
      <c r="B878" s="106"/>
      <c r="C878" s="107"/>
      <c r="D878" s="108"/>
      <c r="E878" s="109"/>
      <c r="F878" s="107"/>
      <c r="G878" s="110"/>
      <c r="H878" s="109"/>
      <c r="I878" s="9"/>
      <c r="J878" s="9"/>
      <c r="K878" s="9"/>
      <c r="L878" s="9"/>
      <c r="M878" s="9"/>
      <c r="N878" s="9"/>
      <c r="O878" s="9"/>
      <c r="P878" s="9"/>
      <c r="Q878" s="9"/>
      <c r="R878" s="9"/>
      <c r="S878" s="9"/>
      <c r="T878" s="9"/>
      <c r="U878" s="9"/>
      <c r="V878" s="9"/>
      <c r="W878" s="9"/>
      <c r="X878" s="9"/>
      <c r="Y878" s="9"/>
      <c r="Z878" s="9"/>
      <c r="AA878" s="9"/>
      <c r="AB878" s="9"/>
      <c r="AC878" s="9"/>
    </row>
    <row r="879" ht="15.75" customHeight="1">
      <c r="B879" s="106"/>
      <c r="C879" s="107"/>
      <c r="D879" s="108"/>
      <c r="E879" s="109"/>
      <c r="F879" s="107"/>
      <c r="G879" s="110"/>
      <c r="H879" s="109"/>
      <c r="I879" s="9"/>
      <c r="J879" s="9"/>
      <c r="K879" s="9"/>
      <c r="L879" s="9"/>
      <c r="M879" s="9"/>
      <c r="N879" s="9"/>
      <c r="O879" s="9"/>
      <c r="P879" s="9"/>
      <c r="Q879" s="9"/>
      <c r="R879" s="9"/>
      <c r="S879" s="9"/>
      <c r="T879" s="9"/>
      <c r="U879" s="9"/>
      <c r="V879" s="9"/>
      <c r="W879" s="9"/>
      <c r="X879" s="9"/>
      <c r="Y879" s="9"/>
      <c r="Z879" s="9"/>
      <c r="AA879" s="9"/>
      <c r="AB879" s="9"/>
      <c r="AC879" s="9"/>
    </row>
    <row r="880" ht="15.75" customHeight="1">
      <c r="B880" s="106"/>
      <c r="C880" s="107"/>
      <c r="D880" s="108"/>
      <c r="E880" s="109"/>
      <c r="F880" s="107"/>
      <c r="G880" s="110"/>
      <c r="H880" s="109"/>
      <c r="I880" s="9"/>
      <c r="J880" s="9"/>
      <c r="K880" s="9"/>
      <c r="L880" s="9"/>
      <c r="M880" s="9"/>
      <c r="N880" s="9"/>
      <c r="O880" s="9"/>
      <c r="P880" s="9"/>
      <c r="Q880" s="9"/>
      <c r="R880" s="9"/>
      <c r="S880" s="9"/>
      <c r="T880" s="9"/>
      <c r="U880" s="9"/>
      <c r="V880" s="9"/>
      <c r="W880" s="9"/>
      <c r="X880" s="9"/>
      <c r="Y880" s="9"/>
      <c r="Z880" s="9"/>
      <c r="AA880" s="9"/>
      <c r="AB880" s="9"/>
      <c r="AC880" s="9"/>
    </row>
    <row r="881" ht="15.75" customHeight="1">
      <c r="B881" s="106"/>
      <c r="C881" s="107"/>
      <c r="D881" s="108"/>
      <c r="E881" s="109"/>
      <c r="F881" s="107"/>
      <c r="G881" s="110"/>
      <c r="H881" s="109"/>
      <c r="I881" s="9"/>
      <c r="J881" s="9"/>
      <c r="K881" s="9"/>
      <c r="L881" s="9"/>
      <c r="M881" s="9"/>
      <c r="N881" s="9"/>
      <c r="O881" s="9"/>
      <c r="P881" s="9"/>
      <c r="Q881" s="9"/>
      <c r="R881" s="9"/>
      <c r="S881" s="9"/>
      <c r="T881" s="9"/>
      <c r="U881" s="9"/>
      <c r="V881" s="9"/>
      <c r="W881" s="9"/>
      <c r="X881" s="9"/>
      <c r="Y881" s="9"/>
      <c r="Z881" s="9"/>
      <c r="AA881" s="9"/>
      <c r="AB881" s="9"/>
      <c r="AC881" s="9"/>
    </row>
    <row r="882" ht="15.75" customHeight="1">
      <c r="B882" s="106"/>
      <c r="C882" s="107"/>
      <c r="D882" s="108"/>
      <c r="E882" s="109"/>
      <c r="F882" s="107"/>
      <c r="G882" s="110"/>
      <c r="H882" s="109"/>
      <c r="I882" s="9"/>
      <c r="J882" s="9"/>
      <c r="K882" s="9"/>
      <c r="L882" s="9"/>
      <c r="M882" s="9"/>
      <c r="N882" s="9"/>
      <c r="O882" s="9"/>
      <c r="P882" s="9"/>
      <c r="Q882" s="9"/>
      <c r="R882" s="9"/>
      <c r="S882" s="9"/>
      <c r="T882" s="9"/>
      <c r="U882" s="9"/>
      <c r="V882" s="9"/>
      <c r="W882" s="9"/>
      <c r="X882" s="9"/>
      <c r="Y882" s="9"/>
      <c r="Z882" s="9"/>
      <c r="AA882" s="9"/>
      <c r="AB882" s="9"/>
      <c r="AC882" s="9"/>
    </row>
    <row r="883" ht="15.75" customHeight="1">
      <c r="B883" s="106"/>
      <c r="C883" s="107"/>
      <c r="D883" s="108"/>
      <c r="E883" s="109"/>
      <c r="F883" s="107"/>
      <c r="G883" s="110"/>
      <c r="H883" s="109"/>
      <c r="I883" s="9"/>
      <c r="J883" s="9"/>
      <c r="K883" s="9"/>
      <c r="L883" s="9"/>
      <c r="M883" s="9"/>
      <c r="N883" s="9"/>
      <c r="O883" s="9"/>
      <c r="P883" s="9"/>
      <c r="Q883" s="9"/>
      <c r="R883" s="9"/>
      <c r="S883" s="9"/>
      <c r="T883" s="9"/>
      <c r="U883" s="9"/>
      <c r="V883" s="9"/>
      <c r="W883" s="9"/>
      <c r="X883" s="9"/>
      <c r="Y883" s="9"/>
      <c r="Z883" s="9"/>
      <c r="AA883" s="9"/>
      <c r="AB883" s="9"/>
      <c r="AC883" s="9"/>
    </row>
    <row r="884" ht="15.75" customHeight="1">
      <c r="B884" s="106"/>
      <c r="C884" s="107"/>
      <c r="D884" s="108"/>
      <c r="E884" s="109"/>
      <c r="F884" s="107"/>
      <c r="G884" s="110"/>
      <c r="H884" s="109"/>
      <c r="I884" s="9"/>
      <c r="J884" s="9"/>
      <c r="K884" s="9"/>
      <c r="L884" s="9"/>
      <c r="M884" s="9"/>
      <c r="N884" s="9"/>
      <c r="O884" s="9"/>
      <c r="P884" s="9"/>
      <c r="Q884" s="9"/>
      <c r="R884" s="9"/>
      <c r="S884" s="9"/>
      <c r="T884" s="9"/>
      <c r="U884" s="9"/>
      <c r="V884" s="9"/>
      <c r="W884" s="9"/>
      <c r="X884" s="9"/>
      <c r="Y884" s="9"/>
      <c r="Z884" s="9"/>
      <c r="AA884" s="9"/>
      <c r="AB884" s="9"/>
      <c r="AC884" s="9"/>
    </row>
    <row r="885" ht="15.75" customHeight="1">
      <c r="B885" s="106"/>
      <c r="C885" s="107"/>
      <c r="D885" s="108"/>
      <c r="E885" s="109"/>
      <c r="F885" s="107"/>
      <c r="G885" s="110"/>
      <c r="H885" s="109"/>
      <c r="I885" s="9"/>
      <c r="J885" s="9"/>
      <c r="K885" s="9"/>
      <c r="L885" s="9"/>
      <c r="M885" s="9"/>
      <c r="N885" s="9"/>
      <c r="O885" s="9"/>
      <c r="P885" s="9"/>
      <c r="Q885" s="9"/>
      <c r="R885" s="9"/>
      <c r="S885" s="9"/>
      <c r="T885" s="9"/>
      <c r="U885" s="9"/>
      <c r="V885" s="9"/>
      <c r="W885" s="9"/>
      <c r="X885" s="9"/>
      <c r="Y885" s="9"/>
      <c r="Z885" s="9"/>
      <c r="AA885" s="9"/>
      <c r="AB885" s="9"/>
      <c r="AC885" s="9"/>
    </row>
    <row r="886" ht="15.75" customHeight="1">
      <c r="B886" s="106"/>
      <c r="C886" s="107"/>
      <c r="D886" s="108"/>
      <c r="E886" s="109"/>
      <c r="F886" s="107"/>
      <c r="G886" s="110"/>
      <c r="H886" s="109"/>
      <c r="I886" s="9"/>
      <c r="J886" s="9"/>
      <c r="K886" s="9"/>
      <c r="L886" s="9"/>
      <c r="M886" s="9"/>
      <c r="N886" s="9"/>
      <c r="O886" s="9"/>
      <c r="P886" s="9"/>
      <c r="Q886" s="9"/>
      <c r="R886" s="9"/>
      <c r="S886" s="9"/>
      <c r="T886" s="9"/>
      <c r="U886" s="9"/>
      <c r="V886" s="9"/>
      <c r="W886" s="9"/>
      <c r="X886" s="9"/>
      <c r="Y886" s="9"/>
      <c r="Z886" s="9"/>
      <c r="AA886" s="9"/>
      <c r="AB886" s="9"/>
      <c r="AC886" s="9"/>
    </row>
    <row r="887" ht="15.75" customHeight="1">
      <c r="B887" s="106"/>
      <c r="C887" s="107"/>
      <c r="D887" s="108"/>
      <c r="E887" s="109"/>
      <c r="F887" s="107"/>
      <c r="G887" s="110"/>
      <c r="H887" s="109"/>
      <c r="I887" s="9"/>
      <c r="J887" s="9"/>
      <c r="K887" s="9"/>
      <c r="L887" s="9"/>
      <c r="M887" s="9"/>
      <c r="N887" s="9"/>
      <c r="O887" s="9"/>
      <c r="P887" s="9"/>
      <c r="Q887" s="9"/>
      <c r="R887" s="9"/>
      <c r="S887" s="9"/>
      <c r="T887" s="9"/>
      <c r="U887" s="9"/>
      <c r="V887" s="9"/>
      <c r="W887" s="9"/>
      <c r="X887" s="9"/>
      <c r="Y887" s="9"/>
      <c r="Z887" s="9"/>
      <c r="AA887" s="9"/>
      <c r="AB887" s="9"/>
      <c r="AC887" s="9"/>
    </row>
    <row r="888" ht="15.75" customHeight="1">
      <c r="B888" s="106"/>
      <c r="C888" s="107"/>
      <c r="D888" s="108"/>
      <c r="E888" s="109"/>
      <c r="F888" s="107"/>
      <c r="G888" s="110"/>
      <c r="H888" s="109"/>
      <c r="I888" s="9"/>
      <c r="J888" s="9"/>
      <c r="K888" s="9"/>
      <c r="L888" s="9"/>
      <c r="M888" s="9"/>
      <c r="N888" s="9"/>
      <c r="O888" s="9"/>
      <c r="P888" s="9"/>
      <c r="Q888" s="9"/>
      <c r="R888" s="9"/>
      <c r="S888" s="9"/>
      <c r="T888" s="9"/>
      <c r="U888" s="9"/>
      <c r="V888" s="9"/>
      <c r="W888" s="9"/>
      <c r="X888" s="9"/>
      <c r="Y888" s="9"/>
      <c r="Z888" s="9"/>
      <c r="AA888" s="9"/>
      <c r="AB888" s="9"/>
      <c r="AC888" s="9"/>
    </row>
    <row r="889" ht="15.75" customHeight="1">
      <c r="B889" s="106"/>
      <c r="C889" s="107"/>
      <c r="D889" s="108"/>
      <c r="E889" s="109"/>
      <c r="F889" s="107"/>
      <c r="G889" s="110"/>
      <c r="H889" s="109"/>
      <c r="I889" s="9"/>
      <c r="J889" s="9"/>
      <c r="K889" s="9"/>
      <c r="L889" s="9"/>
      <c r="M889" s="9"/>
      <c r="N889" s="9"/>
      <c r="O889" s="9"/>
      <c r="P889" s="9"/>
      <c r="Q889" s="9"/>
      <c r="R889" s="9"/>
      <c r="S889" s="9"/>
      <c r="T889" s="9"/>
      <c r="U889" s="9"/>
      <c r="V889" s="9"/>
      <c r="W889" s="9"/>
      <c r="X889" s="9"/>
      <c r="Y889" s="9"/>
      <c r="Z889" s="9"/>
      <c r="AA889" s="9"/>
      <c r="AB889" s="9"/>
      <c r="AC889" s="9"/>
    </row>
    <row r="890" ht="15.75" customHeight="1">
      <c r="B890" s="106"/>
      <c r="C890" s="107"/>
      <c r="D890" s="108"/>
      <c r="E890" s="109"/>
      <c r="F890" s="107"/>
      <c r="G890" s="110"/>
      <c r="H890" s="109"/>
      <c r="I890" s="9"/>
      <c r="J890" s="9"/>
      <c r="K890" s="9"/>
      <c r="L890" s="9"/>
      <c r="M890" s="9"/>
      <c r="N890" s="9"/>
      <c r="O890" s="9"/>
      <c r="P890" s="9"/>
      <c r="Q890" s="9"/>
      <c r="R890" s="9"/>
      <c r="S890" s="9"/>
      <c r="T890" s="9"/>
      <c r="U890" s="9"/>
      <c r="V890" s="9"/>
      <c r="W890" s="9"/>
      <c r="X890" s="9"/>
      <c r="Y890" s="9"/>
      <c r="Z890" s="9"/>
      <c r="AA890" s="9"/>
      <c r="AB890" s="9"/>
      <c r="AC890" s="9"/>
    </row>
    <row r="891" ht="15.75" customHeight="1">
      <c r="B891" s="106"/>
      <c r="C891" s="107"/>
      <c r="D891" s="108"/>
      <c r="E891" s="109"/>
      <c r="F891" s="107"/>
      <c r="G891" s="110"/>
      <c r="H891" s="109"/>
      <c r="I891" s="9"/>
      <c r="J891" s="9"/>
      <c r="K891" s="9"/>
      <c r="L891" s="9"/>
      <c r="M891" s="9"/>
      <c r="N891" s="9"/>
      <c r="O891" s="9"/>
      <c r="P891" s="9"/>
      <c r="Q891" s="9"/>
      <c r="R891" s="9"/>
      <c r="S891" s="9"/>
      <c r="T891" s="9"/>
      <c r="U891" s="9"/>
      <c r="V891" s="9"/>
      <c r="W891" s="9"/>
      <c r="X891" s="9"/>
      <c r="Y891" s="9"/>
      <c r="Z891" s="9"/>
      <c r="AA891" s="9"/>
      <c r="AB891" s="9"/>
      <c r="AC891" s="9"/>
    </row>
    <row r="892" ht="15.75" customHeight="1">
      <c r="B892" s="106"/>
      <c r="C892" s="107"/>
      <c r="D892" s="108"/>
      <c r="E892" s="109"/>
      <c r="F892" s="107"/>
      <c r="G892" s="110"/>
      <c r="H892" s="109"/>
      <c r="I892" s="9"/>
      <c r="J892" s="9"/>
      <c r="K892" s="9"/>
      <c r="L892" s="9"/>
      <c r="M892" s="9"/>
      <c r="N892" s="9"/>
      <c r="O892" s="9"/>
      <c r="P892" s="9"/>
      <c r="Q892" s="9"/>
      <c r="R892" s="9"/>
      <c r="S892" s="9"/>
      <c r="T892" s="9"/>
      <c r="U892" s="9"/>
      <c r="V892" s="9"/>
      <c r="W892" s="9"/>
      <c r="X892" s="9"/>
      <c r="Y892" s="9"/>
      <c r="Z892" s="9"/>
      <c r="AA892" s="9"/>
      <c r="AB892" s="9"/>
      <c r="AC892" s="9"/>
    </row>
    <row r="893" ht="15.75" customHeight="1">
      <c r="B893" s="106"/>
      <c r="C893" s="107"/>
      <c r="D893" s="108"/>
      <c r="E893" s="109"/>
      <c r="F893" s="107"/>
      <c r="G893" s="110"/>
      <c r="H893" s="109"/>
      <c r="I893" s="9"/>
      <c r="J893" s="9"/>
      <c r="K893" s="9"/>
      <c r="L893" s="9"/>
      <c r="M893" s="9"/>
      <c r="N893" s="9"/>
      <c r="O893" s="9"/>
      <c r="P893" s="9"/>
      <c r="Q893" s="9"/>
      <c r="R893" s="9"/>
      <c r="S893" s="9"/>
      <c r="T893" s="9"/>
      <c r="U893" s="9"/>
      <c r="V893" s="9"/>
      <c r="W893" s="9"/>
      <c r="X893" s="9"/>
      <c r="Y893" s="9"/>
      <c r="Z893" s="9"/>
      <c r="AA893" s="9"/>
      <c r="AB893" s="9"/>
      <c r="AC893" s="9"/>
    </row>
    <row r="894" ht="15.75" customHeight="1">
      <c r="B894" s="106"/>
      <c r="C894" s="107"/>
      <c r="D894" s="108"/>
      <c r="E894" s="109"/>
      <c r="F894" s="107"/>
      <c r="G894" s="110"/>
      <c r="H894" s="109"/>
      <c r="I894" s="9"/>
      <c r="J894" s="9"/>
      <c r="K894" s="9"/>
      <c r="L894" s="9"/>
      <c r="M894" s="9"/>
      <c r="N894" s="9"/>
      <c r="O894" s="9"/>
      <c r="P894" s="9"/>
      <c r="Q894" s="9"/>
      <c r="R894" s="9"/>
      <c r="S894" s="9"/>
      <c r="T894" s="9"/>
      <c r="U894" s="9"/>
      <c r="V894" s="9"/>
      <c r="W894" s="9"/>
      <c r="X894" s="9"/>
      <c r="Y894" s="9"/>
      <c r="Z894" s="9"/>
      <c r="AA894" s="9"/>
      <c r="AB894" s="9"/>
      <c r="AC894" s="9"/>
    </row>
    <row r="895" ht="15.75" customHeight="1">
      <c r="B895" s="106"/>
      <c r="C895" s="107"/>
      <c r="D895" s="108"/>
      <c r="E895" s="109"/>
      <c r="F895" s="107"/>
      <c r="G895" s="110"/>
      <c r="H895" s="109"/>
      <c r="I895" s="9"/>
      <c r="J895" s="9"/>
      <c r="K895" s="9"/>
      <c r="L895" s="9"/>
      <c r="M895" s="9"/>
      <c r="N895" s="9"/>
      <c r="O895" s="9"/>
      <c r="P895" s="9"/>
      <c r="Q895" s="9"/>
      <c r="R895" s="9"/>
      <c r="S895" s="9"/>
      <c r="T895" s="9"/>
      <c r="U895" s="9"/>
      <c r="V895" s="9"/>
      <c r="W895" s="9"/>
      <c r="X895" s="9"/>
      <c r="Y895" s="9"/>
      <c r="Z895" s="9"/>
      <c r="AA895" s="9"/>
      <c r="AB895" s="9"/>
      <c r="AC895" s="9"/>
    </row>
    <row r="896" ht="15.75" customHeight="1">
      <c r="B896" s="106"/>
      <c r="C896" s="107"/>
      <c r="D896" s="108"/>
      <c r="E896" s="109"/>
      <c r="F896" s="107"/>
      <c r="G896" s="110"/>
      <c r="H896" s="109"/>
      <c r="I896" s="9"/>
      <c r="J896" s="9"/>
      <c r="K896" s="9"/>
      <c r="L896" s="9"/>
      <c r="M896" s="9"/>
      <c r="N896" s="9"/>
      <c r="O896" s="9"/>
      <c r="P896" s="9"/>
      <c r="Q896" s="9"/>
      <c r="R896" s="9"/>
      <c r="S896" s="9"/>
      <c r="T896" s="9"/>
      <c r="U896" s="9"/>
      <c r="V896" s="9"/>
      <c r="W896" s="9"/>
      <c r="X896" s="9"/>
      <c r="Y896" s="9"/>
      <c r="Z896" s="9"/>
      <c r="AA896" s="9"/>
      <c r="AB896" s="9"/>
      <c r="AC896" s="9"/>
    </row>
    <row r="897" ht="15.75" customHeight="1">
      <c r="B897" s="106"/>
      <c r="C897" s="107"/>
      <c r="D897" s="108"/>
      <c r="E897" s="109"/>
      <c r="F897" s="107"/>
      <c r="G897" s="110"/>
      <c r="H897" s="109"/>
      <c r="I897" s="9"/>
      <c r="J897" s="9"/>
      <c r="K897" s="9"/>
      <c r="L897" s="9"/>
      <c r="M897" s="9"/>
      <c r="N897" s="9"/>
      <c r="O897" s="9"/>
      <c r="P897" s="9"/>
      <c r="Q897" s="9"/>
      <c r="R897" s="9"/>
      <c r="S897" s="9"/>
      <c r="T897" s="9"/>
      <c r="U897" s="9"/>
      <c r="V897" s="9"/>
      <c r="W897" s="9"/>
      <c r="X897" s="9"/>
      <c r="Y897" s="9"/>
      <c r="Z897" s="9"/>
      <c r="AA897" s="9"/>
      <c r="AB897" s="9"/>
      <c r="AC897" s="9"/>
    </row>
    <row r="898" ht="15.75" customHeight="1">
      <c r="B898" s="106"/>
      <c r="C898" s="107"/>
      <c r="D898" s="108"/>
      <c r="E898" s="109"/>
      <c r="F898" s="107"/>
      <c r="G898" s="110"/>
      <c r="H898" s="109"/>
      <c r="I898" s="9"/>
      <c r="J898" s="9"/>
      <c r="K898" s="9"/>
      <c r="L898" s="9"/>
      <c r="M898" s="9"/>
      <c r="N898" s="9"/>
      <c r="O898" s="9"/>
      <c r="P898" s="9"/>
      <c r="Q898" s="9"/>
      <c r="R898" s="9"/>
      <c r="S898" s="9"/>
      <c r="T898" s="9"/>
      <c r="U898" s="9"/>
      <c r="V898" s="9"/>
      <c r="W898" s="9"/>
      <c r="X898" s="9"/>
      <c r="Y898" s="9"/>
      <c r="Z898" s="9"/>
      <c r="AA898" s="9"/>
      <c r="AB898" s="9"/>
      <c r="AC898" s="9"/>
    </row>
    <row r="899" ht="15.75" customHeight="1">
      <c r="B899" s="106"/>
      <c r="C899" s="107"/>
      <c r="D899" s="108"/>
      <c r="E899" s="109"/>
      <c r="F899" s="107"/>
      <c r="G899" s="110"/>
      <c r="H899" s="109"/>
      <c r="I899" s="9"/>
      <c r="J899" s="9"/>
      <c r="K899" s="9"/>
      <c r="L899" s="9"/>
      <c r="M899" s="9"/>
      <c r="N899" s="9"/>
      <c r="O899" s="9"/>
      <c r="P899" s="9"/>
      <c r="Q899" s="9"/>
      <c r="R899" s="9"/>
      <c r="S899" s="9"/>
      <c r="T899" s="9"/>
      <c r="U899" s="9"/>
      <c r="V899" s="9"/>
      <c r="W899" s="9"/>
      <c r="X899" s="9"/>
      <c r="Y899" s="9"/>
      <c r="Z899" s="9"/>
      <c r="AA899" s="9"/>
      <c r="AB899" s="9"/>
      <c r="AC899" s="9"/>
    </row>
    <row r="900" ht="15.75" customHeight="1">
      <c r="B900" s="106"/>
      <c r="C900" s="107"/>
      <c r="D900" s="108"/>
      <c r="E900" s="109"/>
      <c r="F900" s="107"/>
      <c r="G900" s="110"/>
      <c r="H900" s="109"/>
      <c r="I900" s="9"/>
      <c r="J900" s="9"/>
      <c r="K900" s="9"/>
      <c r="L900" s="9"/>
      <c r="M900" s="9"/>
      <c r="N900" s="9"/>
      <c r="O900" s="9"/>
      <c r="P900" s="9"/>
      <c r="Q900" s="9"/>
      <c r="R900" s="9"/>
      <c r="S900" s="9"/>
      <c r="T900" s="9"/>
      <c r="U900" s="9"/>
      <c r="V900" s="9"/>
      <c r="W900" s="9"/>
      <c r="X900" s="9"/>
      <c r="Y900" s="9"/>
      <c r="Z900" s="9"/>
      <c r="AA900" s="9"/>
      <c r="AB900" s="9"/>
      <c r="AC900" s="9"/>
    </row>
    <row r="901" ht="15.75" customHeight="1">
      <c r="B901" s="106"/>
      <c r="C901" s="107"/>
      <c r="D901" s="108"/>
      <c r="E901" s="109"/>
      <c r="F901" s="107"/>
      <c r="G901" s="110"/>
      <c r="H901" s="109"/>
      <c r="I901" s="9"/>
      <c r="J901" s="9"/>
      <c r="K901" s="9"/>
      <c r="L901" s="9"/>
      <c r="M901" s="9"/>
      <c r="N901" s="9"/>
      <c r="O901" s="9"/>
      <c r="P901" s="9"/>
      <c r="Q901" s="9"/>
      <c r="R901" s="9"/>
      <c r="S901" s="9"/>
      <c r="T901" s="9"/>
      <c r="U901" s="9"/>
      <c r="V901" s="9"/>
      <c r="W901" s="9"/>
      <c r="X901" s="9"/>
      <c r="Y901" s="9"/>
      <c r="Z901" s="9"/>
      <c r="AA901" s="9"/>
      <c r="AB901" s="9"/>
      <c r="AC901" s="9"/>
    </row>
    <row r="902" ht="15.75" customHeight="1">
      <c r="B902" s="106"/>
      <c r="C902" s="107"/>
      <c r="D902" s="108"/>
      <c r="E902" s="109"/>
      <c r="F902" s="107"/>
      <c r="G902" s="110"/>
      <c r="H902" s="109"/>
      <c r="I902" s="9"/>
      <c r="J902" s="9"/>
      <c r="K902" s="9"/>
      <c r="L902" s="9"/>
      <c r="M902" s="9"/>
      <c r="N902" s="9"/>
      <c r="O902" s="9"/>
      <c r="P902" s="9"/>
      <c r="Q902" s="9"/>
      <c r="R902" s="9"/>
      <c r="S902" s="9"/>
      <c r="T902" s="9"/>
      <c r="U902" s="9"/>
      <c r="V902" s="9"/>
      <c r="W902" s="9"/>
      <c r="X902" s="9"/>
      <c r="Y902" s="9"/>
      <c r="Z902" s="9"/>
      <c r="AA902" s="9"/>
      <c r="AB902" s="9"/>
      <c r="AC902" s="9"/>
    </row>
    <row r="903" ht="15.75" customHeight="1">
      <c r="B903" s="106"/>
      <c r="C903" s="107"/>
      <c r="D903" s="108"/>
      <c r="E903" s="109"/>
      <c r="F903" s="107"/>
      <c r="G903" s="110"/>
      <c r="H903" s="109"/>
      <c r="I903" s="9"/>
      <c r="J903" s="9"/>
      <c r="K903" s="9"/>
      <c r="L903" s="9"/>
      <c r="M903" s="9"/>
      <c r="N903" s="9"/>
      <c r="O903" s="9"/>
      <c r="P903" s="9"/>
      <c r="Q903" s="9"/>
      <c r="R903" s="9"/>
      <c r="S903" s="9"/>
      <c r="T903" s="9"/>
      <c r="U903" s="9"/>
      <c r="V903" s="9"/>
      <c r="W903" s="9"/>
      <c r="X903" s="9"/>
      <c r="Y903" s="9"/>
      <c r="Z903" s="9"/>
      <c r="AA903" s="9"/>
      <c r="AB903" s="9"/>
      <c r="AC903" s="9"/>
    </row>
    <row r="904" ht="15.75" customHeight="1">
      <c r="B904" s="106"/>
      <c r="C904" s="107"/>
      <c r="D904" s="108"/>
      <c r="E904" s="109"/>
      <c r="F904" s="107"/>
      <c r="G904" s="110"/>
      <c r="H904" s="109"/>
      <c r="I904" s="9"/>
      <c r="J904" s="9"/>
      <c r="K904" s="9"/>
      <c r="L904" s="9"/>
      <c r="M904" s="9"/>
      <c r="N904" s="9"/>
      <c r="O904" s="9"/>
      <c r="P904" s="9"/>
      <c r="Q904" s="9"/>
      <c r="R904" s="9"/>
      <c r="S904" s="9"/>
      <c r="T904" s="9"/>
      <c r="U904" s="9"/>
      <c r="V904" s="9"/>
      <c r="W904" s="9"/>
      <c r="X904" s="9"/>
      <c r="Y904" s="9"/>
      <c r="Z904" s="9"/>
      <c r="AA904" s="9"/>
      <c r="AB904" s="9"/>
      <c r="AC904" s="9"/>
    </row>
    <row r="905" ht="15.75" customHeight="1">
      <c r="B905" s="106"/>
      <c r="C905" s="107"/>
      <c r="D905" s="108"/>
      <c r="E905" s="109"/>
      <c r="F905" s="107"/>
      <c r="G905" s="110"/>
      <c r="H905" s="109"/>
      <c r="I905" s="9"/>
      <c r="J905" s="9"/>
      <c r="K905" s="9"/>
      <c r="L905" s="9"/>
      <c r="M905" s="9"/>
      <c r="N905" s="9"/>
      <c r="O905" s="9"/>
      <c r="P905" s="9"/>
      <c r="Q905" s="9"/>
      <c r="R905" s="9"/>
      <c r="S905" s="9"/>
      <c r="T905" s="9"/>
      <c r="U905" s="9"/>
      <c r="V905" s="9"/>
      <c r="W905" s="9"/>
      <c r="X905" s="9"/>
      <c r="Y905" s="9"/>
      <c r="Z905" s="9"/>
      <c r="AA905" s="9"/>
      <c r="AB905" s="9"/>
      <c r="AC905" s="9"/>
    </row>
    <row r="906" ht="15.75" customHeight="1">
      <c r="B906" s="106"/>
      <c r="C906" s="107"/>
      <c r="D906" s="108"/>
      <c r="E906" s="109"/>
      <c r="F906" s="107"/>
      <c r="G906" s="110"/>
      <c r="H906" s="109"/>
      <c r="I906" s="9"/>
      <c r="J906" s="9"/>
      <c r="K906" s="9"/>
      <c r="L906" s="9"/>
      <c r="M906" s="9"/>
      <c r="N906" s="9"/>
      <c r="O906" s="9"/>
      <c r="P906" s="9"/>
      <c r="Q906" s="9"/>
      <c r="R906" s="9"/>
      <c r="S906" s="9"/>
      <c r="T906" s="9"/>
      <c r="U906" s="9"/>
      <c r="V906" s="9"/>
      <c r="W906" s="9"/>
      <c r="X906" s="9"/>
      <c r="Y906" s="9"/>
      <c r="Z906" s="9"/>
      <c r="AA906" s="9"/>
      <c r="AB906" s="9"/>
      <c r="AC906" s="9"/>
    </row>
    <row r="907" ht="15.75" customHeight="1">
      <c r="B907" s="106"/>
      <c r="C907" s="107"/>
      <c r="D907" s="108"/>
      <c r="E907" s="109"/>
      <c r="F907" s="107"/>
      <c r="G907" s="110"/>
      <c r="H907" s="109"/>
      <c r="I907" s="9"/>
      <c r="J907" s="9"/>
      <c r="K907" s="9"/>
      <c r="L907" s="9"/>
      <c r="M907" s="9"/>
      <c r="N907" s="9"/>
      <c r="O907" s="9"/>
      <c r="P907" s="9"/>
      <c r="Q907" s="9"/>
      <c r="R907" s="9"/>
      <c r="S907" s="9"/>
      <c r="T907" s="9"/>
      <c r="U907" s="9"/>
      <c r="V907" s="9"/>
      <c r="W907" s="9"/>
      <c r="X907" s="9"/>
      <c r="Y907" s="9"/>
      <c r="Z907" s="9"/>
      <c r="AA907" s="9"/>
      <c r="AB907" s="9"/>
      <c r="AC907" s="9"/>
    </row>
    <row r="908" ht="15.75" customHeight="1">
      <c r="B908" s="106"/>
      <c r="C908" s="107"/>
      <c r="D908" s="108"/>
      <c r="E908" s="109"/>
      <c r="F908" s="107"/>
      <c r="G908" s="110"/>
      <c r="H908" s="109"/>
      <c r="I908" s="9"/>
      <c r="J908" s="9"/>
      <c r="K908" s="9"/>
      <c r="L908" s="9"/>
      <c r="M908" s="9"/>
      <c r="N908" s="9"/>
      <c r="O908" s="9"/>
      <c r="P908" s="9"/>
      <c r="Q908" s="9"/>
      <c r="R908" s="9"/>
      <c r="S908" s="9"/>
      <c r="T908" s="9"/>
      <c r="U908" s="9"/>
      <c r="V908" s="9"/>
      <c r="W908" s="9"/>
      <c r="X908" s="9"/>
      <c r="Y908" s="9"/>
      <c r="Z908" s="9"/>
      <c r="AA908" s="9"/>
      <c r="AB908" s="9"/>
      <c r="AC908" s="9"/>
    </row>
    <row r="909" ht="15.75" customHeight="1">
      <c r="B909" s="106"/>
      <c r="C909" s="107"/>
      <c r="D909" s="108"/>
      <c r="E909" s="109"/>
      <c r="F909" s="107"/>
      <c r="G909" s="110"/>
      <c r="H909" s="109"/>
      <c r="I909" s="9"/>
      <c r="J909" s="9"/>
      <c r="K909" s="9"/>
      <c r="L909" s="9"/>
      <c r="M909" s="9"/>
      <c r="N909" s="9"/>
      <c r="O909" s="9"/>
      <c r="P909" s="9"/>
      <c r="Q909" s="9"/>
      <c r="R909" s="9"/>
      <c r="S909" s="9"/>
      <c r="T909" s="9"/>
      <c r="U909" s="9"/>
      <c r="V909" s="9"/>
      <c r="W909" s="9"/>
      <c r="X909" s="9"/>
      <c r="Y909" s="9"/>
      <c r="Z909" s="9"/>
      <c r="AA909" s="9"/>
      <c r="AB909" s="9"/>
      <c r="AC909" s="9"/>
    </row>
    <row r="910" ht="15.75" customHeight="1">
      <c r="B910" s="106"/>
      <c r="C910" s="107"/>
      <c r="D910" s="108"/>
      <c r="E910" s="109"/>
      <c r="F910" s="107"/>
      <c r="G910" s="110"/>
      <c r="H910" s="109"/>
      <c r="I910" s="9"/>
      <c r="J910" s="9"/>
      <c r="K910" s="9"/>
      <c r="L910" s="9"/>
      <c r="M910" s="9"/>
      <c r="N910" s="9"/>
      <c r="O910" s="9"/>
      <c r="P910" s="9"/>
      <c r="Q910" s="9"/>
      <c r="R910" s="9"/>
      <c r="S910" s="9"/>
      <c r="T910" s="9"/>
      <c r="U910" s="9"/>
      <c r="V910" s="9"/>
      <c r="W910" s="9"/>
      <c r="X910" s="9"/>
      <c r="Y910" s="9"/>
      <c r="Z910" s="9"/>
      <c r="AA910" s="9"/>
      <c r="AB910" s="9"/>
      <c r="AC910" s="9"/>
    </row>
    <row r="911" ht="15.75" customHeight="1">
      <c r="B911" s="106"/>
      <c r="C911" s="107"/>
      <c r="D911" s="108"/>
      <c r="E911" s="109"/>
      <c r="F911" s="107"/>
      <c r="G911" s="110"/>
      <c r="H911" s="109"/>
      <c r="I911" s="9"/>
      <c r="J911" s="9"/>
      <c r="K911" s="9"/>
      <c r="L911" s="9"/>
      <c r="M911" s="9"/>
      <c r="N911" s="9"/>
      <c r="O911" s="9"/>
      <c r="P911" s="9"/>
      <c r="Q911" s="9"/>
      <c r="R911" s="9"/>
      <c r="S911" s="9"/>
      <c r="T911" s="9"/>
      <c r="U911" s="9"/>
      <c r="V911" s="9"/>
      <c r="W911" s="9"/>
      <c r="X911" s="9"/>
      <c r="Y911" s="9"/>
      <c r="Z911" s="9"/>
      <c r="AA911" s="9"/>
      <c r="AB911" s="9"/>
      <c r="AC911" s="9"/>
    </row>
    <row r="912" ht="15.75" customHeight="1">
      <c r="B912" s="106"/>
      <c r="C912" s="107"/>
      <c r="D912" s="108"/>
      <c r="E912" s="109"/>
      <c r="F912" s="107"/>
      <c r="G912" s="110"/>
      <c r="H912" s="109"/>
      <c r="I912" s="9"/>
      <c r="J912" s="9"/>
      <c r="K912" s="9"/>
      <c r="L912" s="9"/>
      <c r="M912" s="9"/>
      <c r="N912" s="9"/>
      <c r="O912" s="9"/>
      <c r="P912" s="9"/>
      <c r="Q912" s="9"/>
      <c r="R912" s="9"/>
      <c r="S912" s="9"/>
      <c r="T912" s="9"/>
      <c r="U912" s="9"/>
      <c r="V912" s="9"/>
      <c r="W912" s="9"/>
      <c r="X912" s="9"/>
      <c r="Y912" s="9"/>
      <c r="Z912" s="9"/>
      <c r="AA912" s="9"/>
      <c r="AB912" s="9"/>
      <c r="AC912" s="9"/>
    </row>
    <row r="913" ht="15.75" customHeight="1">
      <c r="B913" s="106"/>
      <c r="C913" s="107"/>
      <c r="D913" s="108"/>
      <c r="E913" s="109"/>
      <c r="F913" s="107"/>
      <c r="G913" s="110"/>
      <c r="H913" s="109"/>
      <c r="I913" s="9"/>
      <c r="J913" s="9"/>
      <c r="K913" s="9"/>
      <c r="L913" s="9"/>
      <c r="M913" s="9"/>
      <c r="N913" s="9"/>
      <c r="O913" s="9"/>
      <c r="P913" s="9"/>
      <c r="Q913" s="9"/>
      <c r="R913" s="9"/>
      <c r="S913" s="9"/>
      <c r="T913" s="9"/>
      <c r="U913" s="9"/>
      <c r="V913" s="9"/>
      <c r="W913" s="9"/>
      <c r="X913" s="9"/>
      <c r="Y913" s="9"/>
      <c r="Z913" s="9"/>
      <c r="AA913" s="9"/>
      <c r="AB913" s="9"/>
      <c r="AC913" s="9"/>
    </row>
    <row r="914" ht="15.75" customHeight="1">
      <c r="B914" s="106"/>
      <c r="C914" s="107"/>
      <c r="D914" s="108"/>
      <c r="E914" s="109"/>
      <c r="F914" s="107"/>
      <c r="G914" s="110"/>
      <c r="H914" s="109"/>
      <c r="I914" s="9"/>
      <c r="J914" s="9"/>
      <c r="K914" s="9"/>
      <c r="L914" s="9"/>
      <c r="M914" s="9"/>
      <c r="N914" s="9"/>
      <c r="O914" s="9"/>
      <c r="P914" s="9"/>
      <c r="Q914" s="9"/>
      <c r="R914" s="9"/>
      <c r="S914" s="9"/>
      <c r="T914" s="9"/>
      <c r="U914" s="9"/>
      <c r="V914" s="9"/>
      <c r="W914" s="9"/>
      <c r="X914" s="9"/>
      <c r="Y914" s="9"/>
      <c r="Z914" s="9"/>
      <c r="AA914" s="9"/>
      <c r="AB914" s="9"/>
      <c r="AC914" s="9"/>
    </row>
    <row r="915" ht="15.75" customHeight="1">
      <c r="B915" s="106"/>
      <c r="C915" s="107"/>
      <c r="D915" s="108"/>
      <c r="E915" s="109"/>
      <c r="F915" s="107"/>
      <c r="G915" s="110"/>
      <c r="H915" s="109"/>
      <c r="I915" s="9"/>
      <c r="J915" s="9"/>
      <c r="K915" s="9"/>
      <c r="L915" s="9"/>
      <c r="M915" s="9"/>
      <c r="N915" s="9"/>
      <c r="O915" s="9"/>
      <c r="P915" s="9"/>
      <c r="Q915" s="9"/>
      <c r="R915" s="9"/>
      <c r="S915" s="9"/>
      <c r="T915" s="9"/>
      <c r="U915" s="9"/>
      <c r="V915" s="9"/>
      <c r="W915" s="9"/>
      <c r="X915" s="9"/>
      <c r="Y915" s="9"/>
      <c r="Z915" s="9"/>
      <c r="AA915" s="9"/>
      <c r="AB915" s="9"/>
      <c r="AC915" s="9"/>
    </row>
    <row r="916" ht="15.75" customHeight="1">
      <c r="B916" s="106"/>
      <c r="C916" s="107"/>
      <c r="D916" s="108"/>
      <c r="E916" s="109"/>
      <c r="F916" s="107"/>
      <c r="G916" s="110"/>
      <c r="H916" s="109"/>
      <c r="I916" s="9"/>
      <c r="J916" s="9"/>
      <c r="K916" s="9"/>
      <c r="L916" s="9"/>
      <c r="M916" s="9"/>
      <c r="N916" s="9"/>
      <c r="O916" s="9"/>
      <c r="P916" s="9"/>
      <c r="Q916" s="9"/>
      <c r="R916" s="9"/>
      <c r="S916" s="9"/>
      <c r="T916" s="9"/>
      <c r="U916" s="9"/>
      <c r="V916" s="9"/>
      <c r="W916" s="9"/>
      <c r="X916" s="9"/>
      <c r="Y916" s="9"/>
      <c r="Z916" s="9"/>
      <c r="AA916" s="9"/>
      <c r="AB916" s="9"/>
      <c r="AC916" s="9"/>
    </row>
    <row r="917" ht="15.75" customHeight="1">
      <c r="B917" s="106"/>
      <c r="C917" s="107"/>
      <c r="D917" s="108"/>
      <c r="E917" s="109"/>
      <c r="F917" s="107"/>
      <c r="G917" s="110"/>
      <c r="H917" s="109"/>
      <c r="I917" s="9"/>
      <c r="J917" s="9"/>
      <c r="K917" s="9"/>
      <c r="L917" s="9"/>
      <c r="M917" s="9"/>
      <c r="N917" s="9"/>
      <c r="O917" s="9"/>
      <c r="P917" s="9"/>
      <c r="Q917" s="9"/>
      <c r="R917" s="9"/>
      <c r="S917" s="9"/>
      <c r="T917" s="9"/>
      <c r="U917" s="9"/>
      <c r="V917" s="9"/>
      <c r="W917" s="9"/>
      <c r="X917" s="9"/>
      <c r="Y917" s="9"/>
      <c r="Z917" s="9"/>
      <c r="AA917" s="9"/>
      <c r="AB917" s="9"/>
      <c r="AC917" s="9"/>
    </row>
    <row r="918" ht="15.75" customHeight="1">
      <c r="B918" s="106"/>
      <c r="C918" s="107"/>
      <c r="D918" s="108"/>
      <c r="E918" s="109"/>
      <c r="F918" s="107"/>
      <c r="G918" s="110"/>
      <c r="H918" s="109"/>
      <c r="I918" s="9"/>
      <c r="J918" s="9"/>
      <c r="K918" s="9"/>
      <c r="L918" s="9"/>
      <c r="M918" s="9"/>
      <c r="N918" s="9"/>
      <c r="O918" s="9"/>
      <c r="P918" s="9"/>
      <c r="Q918" s="9"/>
      <c r="R918" s="9"/>
      <c r="S918" s="9"/>
      <c r="T918" s="9"/>
      <c r="U918" s="9"/>
      <c r="V918" s="9"/>
      <c r="W918" s="9"/>
      <c r="X918" s="9"/>
      <c r="Y918" s="9"/>
      <c r="Z918" s="9"/>
      <c r="AA918" s="9"/>
      <c r="AB918" s="9"/>
      <c r="AC918" s="9"/>
    </row>
    <row r="919" ht="15.75" customHeight="1">
      <c r="B919" s="106"/>
      <c r="C919" s="107"/>
      <c r="D919" s="108"/>
      <c r="E919" s="109"/>
      <c r="F919" s="107"/>
      <c r="G919" s="110"/>
      <c r="H919" s="109"/>
      <c r="I919" s="9"/>
      <c r="J919" s="9"/>
      <c r="K919" s="9"/>
      <c r="L919" s="9"/>
      <c r="M919" s="9"/>
      <c r="N919" s="9"/>
      <c r="O919" s="9"/>
      <c r="P919" s="9"/>
      <c r="Q919" s="9"/>
      <c r="R919" s="9"/>
      <c r="S919" s="9"/>
      <c r="T919" s="9"/>
      <c r="U919" s="9"/>
      <c r="V919" s="9"/>
      <c r="W919" s="9"/>
      <c r="X919" s="9"/>
      <c r="Y919" s="9"/>
      <c r="Z919" s="9"/>
      <c r="AA919" s="9"/>
      <c r="AB919" s="9"/>
      <c r="AC919" s="9"/>
    </row>
    <row r="920" ht="15.75" customHeight="1">
      <c r="B920" s="106"/>
      <c r="C920" s="107"/>
      <c r="D920" s="108"/>
      <c r="E920" s="109"/>
      <c r="F920" s="107"/>
      <c r="G920" s="110"/>
      <c r="H920" s="109"/>
      <c r="I920" s="9"/>
      <c r="J920" s="9"/>
      <c r="K920" s="9"/>
      <c r="L920" s="9"/>
      <c r="M920" s="9"/>
      <c r="N920" s="9"/>
      <c r="O920" s="9"/>
      <c r="P920" s="9"/>
      <c r="Q920" s="9"/>
      <c r="R920" s="9"/>
      <c r="S920" s="9"/>
      <c r="T920" s="9"/>
      <c r="U920" s="9"/>
      <c r="V920" s="9"/>
      <c r="W920" s="9"/>
      <c r="X920" s="9"/>
      <c r="Y920" s="9"/>
      <c r="Z920" s="9"/>
      <c r="AA920" s="9"/>
      <c r="AB920" s="9"/>
      <c r="AC920" s="9"/>
    </row>
    <row r="921" ht="15.75" customHeight="1">
      <c r="B921" s="106"/>
      <c r="C921" s="107"/>
      <c r="D921" s="108"/>
      <c r="E921" s="109"/>
      <c r="F921" s="107"/>
      <c r="G921" s="110"/>
      <c r="H921" s="109"/>
      <c r="I921" s="9"/>
      <c r="J921" s="9"/>
      <c r="K921" s="9"/>
      <c r="L921" s="9"/>
      <c r="M921" s="9"/>
      <c r="N921" s="9"/>
      <c r="O921" s="9"/>
      <c r="P921" s="9"/>
      <c r="Q921" s="9"/>
      <c r="R921" s="9"/>
      <c r="S921" s="9"/>
      <c r="T921" s="9"/>
      <c r="U921" s="9"/>
      <c r="V921" s="9"/>
      <c r="W921" s="9"/>
      <c r="X921" s="9"/>
      <c r="Y921" s="9"/>
      <c r="Z921" s="9"/>
      <c r="AA921" s="9"/>
      <c r="AB921" s="9"/>
      <c r="AC921" s="9"/>
    </row>
    <row r="922" ht="15.75" customHeight="1">
      <c r="B922" s="106"/>
      <c r="C922" s="107"/>
      <c r="D922" s="108"/>
      <c r="E922" s="109"/>
      <c r="F922" s="107"/>
      <c r="G922" s="110"/>
      <c r="H922" s="109"/>
      <c r="I922" s="9"/>
      <c r="J922" s="9"/>
      <c r="K922" s="9"/>
      <c r="L922" s="9"/>
      <c r="M922" s="9"/>
      <c r="N922" s="9"/>
      <c r="O922" s="9"/>
      <c r="P922" s="9"/>
      <c r="Q922" s="9"/>
      <c r="R922" s="9"/>
      <c r="S922" s="9"/>
      <c r="T922" s="9"/>
      <c r="U922" s="9"/>
      <c r="V922" s="9"/>
      <c r="W922" s="9"/>
      <c r="X922" s="9"/>
      <c r="Y922" s="9"/>
      <c r="Z922" s="9"/>
      <c r="AA922" s="9"/>
      <c r="AB922" s="9"/>
      <c r="AC922" s="9"/>
    </row>
    <row r="923" ht="15.75" customHeight="1">
      <c r="B923" s="106"/>
      <c r="C923" s="107"/>
      <c r="D923" s="108"/>
      <c r="E923" s="109"/>
      <c r="F923" s="107"/>
      <c r="G923" s="110"/>
      <c r="H923" s="109"/>
      <c r="I923" s="9"/>
      <c r="J923" s="9"/>
      <c r="K923" s="9"/>
      <c r="L923" s="9"/>
      <c r="M923" s="9"/>
      <c r="N923" s="9"/>
      <c r="O923" s="9"/>
      <c r="P923" s="9"/>
      <c r="Q923" s="9"/>
      <c r="R923" s="9"/>
      <c r="S923" s="9"/>
      <c r="T923" s="9"/>
      <c r="U923" s="9"/>
      <c r="V923" s="9"/>
      <c r="W923" s="9"/>
      <c r="X923" s="9"/>
      <c r="Y923" s="9"/>
      <c r="Z923" s="9"/>
      <c r="AA923" s="9"/>
      <c r="AB923" s="9"/>
      <c r="AC923" s="9"/>
    </row>
    <row r="924" ht="15.75" customHeight="1">
      <c r="B924" s="106"/>
      <c r="C924" s="107"/>
      <c r="D924" s="108"/>
      <c r="E924" s="109"/>
      <c r="F924" s="107"/>
      <c r="G924" s="110"/>
      <c r="H924" s="109"/>
      <c r="I924" s="9"/>
      <c r="J924" s="9"/>
      <c r="K924" s="9"/>
      <c r="L924" s="9"/>
      <c r="M924" s="9"/>
      <c r="N924" s="9"/>
      <c r="O924" s="9"/>
      <c r="P924" s="9"/>
      <c r="Q924" s="9"/>
      <c r="R924" s="9"/>
      <c r="S924" s="9"/>
      <c r="T924" s="9"/>
      <c r="U924" s="9"/>
      <c r="V924" s="9"/>
      <c r="W924" s="9"/>
      <c r="X924" s="9"/>
      <c r="Y924" s="9"/>
      <c r="Z924" s="9"/>
      <c r="AA924" s="9"/>
      <c r="AB924" s="9"/>
      <c r="AC924" s="9"/>
    </row>
    <row r="925" ht="15.75" customHeight="1">
      <c r="B925" s="106"/>
      <c r="C925" s="107"/>
      <c r="D925" s="108"/>
      <c r="E925" s="109"/>
      <c r="F925" s="107"/>
      <c r="G925" s="110"/>
      <c r="H925" s="109"/>
      <c r="I925" s="9"/>
      <c r="J925" s="9"/>
      <c r="K925" s="9"/>
      <c r="L925" s="9"/>
      <c r="M925" s="9"/>
      <c r="N925" s="9"/>
      <c r="O925" s="9"/>
      <c r="P925" s="9"/>
      <c r="Q925" s="9"/>
      <c r="R925" s="9"/>
      <c r="S925" s="9"/>
      <c r="T925" s="9"/>
      <c r="U925" s="9"/>
      <c r="V925" s="9"/>
      <c r="W925" s="9"/>
      <c r="X925" s="9"/>
      <c r="Y925" s="9"/>
      <c r="Z925" s="9"/>
      <c r="AA925" s="9"/>
      <c r="AB925" s="9"/>
      <c r="AC925" s="9"/>
    </row>
    <row r="926" ht="15.75" customHeight="1">
      <c r="B926" s="106"/>
      <c r="C926" s="107"/>
      <c r="D926" s="108"/>
      <c r="E926" s="109"/>
      <c r="F926" s="107"/>
      <c r="G926" s="110"/>
      <c r="H926" s="109"/>
      <c r="I926" s="9"/>
      <c r="J926" s="9"/>
      <c r="K926" s="9"/>
      <c r="L926" s="9"/>
      <c r="M926" s="9"/>
      <c r="N926" s="9"/>
      <c r="O926" s="9"/>
      <c r="P926" s="9"/>
      <c r="Q926" s="9"/>
      <c r="R926" s="9"/>
      <c r="S926" s="9"/>
      <c r="T926" s="9"/>
      <c r="U926" s="9"/>
      <c r="V926" s="9"/>
      <c r="W926" s="9"/>
      <c r="X926" s="9"/>
      <c r="Y926" s="9"/>
      <c r="Z926" s="9"/>
      <c r="AA926" s="9"/>
      <c r="AB926" s="9"/>
      <c r="AC926" s="9"/>
    </row>
    <row r="927" ht="15.75" customHeight="1">
      <c r="B927" s="106"/>
      <c r="C927" s="107"/>
      <c r="D927" s="108"/>
      <c r="E927" s="109"/>
      <c r="F927" s="107"/>
      <c r="G927" s="110"/>
      <c r="H927" s="109"/>
      <c r="I927" s="9"/>
      <c r="J927" s="9"/>
      <c r="K927" s="9"/>
      <c r="L927" s="9"/>
      <c r="M927" s="9"/>
      <c r="N927" s="9"/>
      <c r="O927" s="9"/>
      <c r="P927" s="9"/>
      <c r="Q927" s="9"/>
      <c r="R927" s="9"/>
      <c r="S927" s="9"/>
      <c r="T927" s="9"/>
      <c r="U927" s="9"/>
      <c r="V927" s="9"/>
      <c r="W927" s="9"/>
      <c r="X927" s="9"/>
      <c r="Y927" s="9"/>
      <c r="Z927" s="9"/>
      <c r="AA927" s="9"/>
      <c r="AB927" s="9"/>
      <c r="AC927" s="9"/>
    </row>
    <row r="928" ht="15.75" customHeight="1">
      <c r="B928" s="106"/>
      <c r="C928" s="107"/>
      <c r="D928" s="108"/>
      <c r="E928" s="109"/>
      <c r="F928" s="107"/>
      <c r="G928" s="110"/>
      <c r="H928" s="109"/>
      <c r="I928" s="9"/>
      <c r="J928" s="9"/>
      <c r="K928" s="9"/>
      <c r="L928" s="9"/>
      <c r="M928" s="9"/>
      <c r="N928" s="9"/>
      <c r="O928" s="9"/>
      <c r="P928" s="9"/>
      <c r="Q928" s="9"/>
      <c r="R928" s="9"/>
      <c r="S928" s="9"/>
      <c r="T928" s="9"/>
      <c r="U928" s="9"/>
      <c r="V928" s="9"/>
      <c r="W928" s="9"/>
      <c r="X928" s="9"/>
      <c r="Y928" s="9"/>
      <c r="Z928" s="9"/>
      <c r="AA928" s="9"/>
      <c r="AB928" s="9"/>
      <c r="AC928" s="9"/>
    </row>
    <row r="929" ht="15.75" customHeight="1">
      <c r="B929" s="106"/>
      <c r="C929" s="107"/>
      <c r="D929" s="108"/>
      <c r="E929" s="109"/>
      <c r="F929" s="107"/>
      <c r="G929" s="110"/>
      <c r="H929" s="109"/>
      <c r="I929" s="9"/>
      <c r="J929" s="9"/>
      <c r="K929" s="9"/>
      <c r="L929" s="9"/>
      <c r="M929" s="9"/>
      <c r="N929" s="9"/>
      <c r="O929" s="9"/>
      <c r="P929" s="9"/>
      <c r="Q929" s="9"/>
      <c r="R929" s="9"/>
      <c r="S929" s="9"/>
      <c r="T929" s="9"/>
      <c r="U929" s="9"/>
      <c r="V929" s="9"/>
      <c r="W929" s="9"/>
      <c r="X929" s="9"/>
      <c r="Y929" s="9"/>
      <c r="Z929" s="9"/>
      <c r="AA929" s="9"/>
      <c r="AB929" s="9"/>
      <c r="AC929" s="9"/>
    </row>
    <row r="930" ht="15.75" customHeight="1">
      <c r="B930" s="106"/>
      <c r="C930" s="107"/>
      <c r="D930" s="108"/>
      <c r="E930" s="109"/>
      <c r="F930" s="107"/>
      <c r="G930" s="110"/>
      <c r="H930" s="109"/>
      <c r="I930" s="9"/>
      <c r="J930" s="9"/>
      <c r="K930" s="9"/>
      <c r="L930" s="9"/>
      <c r="M930" s="9"/>
      <c r="N930" s="9"/>
      <c r="O930" s="9"/>
      <c r="P930" s="9"/>
      <c r="Q930" s="9"/>
      <c r="R930" s="9"/>
      <c r="S930" s="9"/>
      <c r="T930" s="9"/>
      <c r="U930" s="9"/>
      <c r="V930" s="9"/>
      <c r="W930" s="9"/>
      <c r="X930" s="9"/>
      <c r="Y930" s="9"/>
      <c r="Z930" s="9"/>
      <c r="AA930" s="9"/>
      <c r="AB930" s="9"/>
      <c r="AC930" s="9"/>
    </row>
    <row r="931" ht="15.75" customHeight="1">
      <c r="B931" s="106"/>
      <c r="C931" s="107"/>
      <c r="D931" s="108"/>
      <c r="E931" s="109"/>
      <c r="F931" s="107"/>
      <c r="G931" s="110"/>
      <c r="H931" s="109"/>
      <c r="I931" s="9"/>
      <c r="J931" s="9"/>
      <c r="K931" s="9"/>
      <c r="L931" s="9"/>
      <c r="M931" s="9"/>
      <c r="N931" s="9"/>
      <c r="O931" s="9"/>
      <c r="P931" s="9"/>
      <c r="Q931" s="9"/>
      <c r="R931" s="9"/>
      <c r="S931" s="9"/>
      <c r="T931" s="9"/>
      <c r="U931" s="9"/>
      <c r="V931" s="9"/>
      <c r="W931" s="9"/>
      <c r="X931" s="9"/>
      <c r="Y931" s="9"/>
      <c r="Z931" s="9"/>
      <c r="AA931" s="9"/>
      <c r="AB931" s="9"/>
      <c r="AC931" s="9"/>
    </row>
    <row r="932" ht="15.75" customHeight="1">
      <c r="B932" s="106"/>
      <c r="C932" s="107"/>
      <c r="D932" s="108"/>
      <c r="E932" s="109"/>
      <c r="F932" s="107"/>
      <c r="G932" s="110"/>
      <c r="H932" s="109"/>
      <c r="I932" s="9"/>
      <c r="J932" s="9"/>
      <c r="K932" s="9"/>
      <c r="L932" s="9"/>
      <c r="M932" s="9"/>
      <c r="N932" s="9"/>
      <c r="O932" s="9"/>
      <c r="P932" s="9"/>
      <c r="Q932" s="9"/>
      <c r="R932" s="9"/>
      <c r="S932" s="9"/>
      <c r="T932" s="9"/>
      <c r="U932" s="9"/>
      <c r="V932" s="9"/>
      <c r="W932" s="9"/>
      <c r="X932" s="9"/>
      <c r="Y932" s="9"/>
      <c r="Z932" s="9"/>
      <c r="AA932" s="9"/>
      <c r="AB932" s="9"/>
      <c r="AC932" s="9"/>
    </row>
    <row r="933" ht="15.75" customHeight="1">
      <c r="B933" s="106"/>
      <c r="C933" s="107"/>
      <c r="D933" s="108"/>
      <c r="E933" s="109"/>
      <c r="F933" s="107"/>
      <c r="G933" s="110"/>
      <c r="H933" s="109"/>
      <c r="I933" s="9"/>
      <c r="J933" s="9"/>
      <c r="K933" s="9"/>
      <c r="L933" s="9"/>
      <c r="M933" s="9"/>
      <c r="N933" s="9"/>
      <c r="O933" s="9"/>
      <c r="P933" s="9"/>
      <c r="Q933" s="9"/>
      <c r="R933" s="9"/>
      <c r="S933" s="9"/>
      <c r="T933" s="9"/>
      <c r="U933" s="9"/>
      <c r="V933" s="9"/>
      <c r="W933" s="9"/>
      <c r="X933" s="9"/>
      <c r="Y933" s="9"/>
      <c r="Z933" s="9"/>
      <c r="AA933" s="9"/>
      <c r="AB933" s="9"/>
      <c r="AC933" s="9"/>
    </row>
    <row r="934" ht="15.75" customHeight="1">
      <c r="B934" s="106"/>
      <c r="C934" s="107"/>
      <c r="D934" s="108"/>
      <c r="E934" s="109"/>
      <c r="F934" s="107"/>
      <c r="G934" s="110"/>
      <c r="H934" s="109"/>
      <c r="I934" s="9"/>
      <c r="J934" s="9"/>
      <c r="K934" s="9"/>
      <c r="L934" s="9"/>
      <c r="M934" s="9"/>
      <c r="N934" s="9"/>
      <c r="O934" s="9"/>
      <c r="P934" s="9"/>
      <c r="Q934" s="9"/>
      <c r="R934" s="9"/>
      <c r="S934" s="9"/>
      <c r="T934" s="9"/>
      <c r="U934" s="9"/>
      <c r="V934" s="9"/>
      <c r="W934" s="9"/>
      <c r="X934" s="9"/>
      <c r="Y934" s="9"/>
      <c r="Z934" s="9"/>
      <c r="AA934" s="9"/>
      <c r="AB934" s="9"/>
      <c r="AC934" s="9"/>
    </row>
    <row r="935" ht="15.75" customHeight="1">
      <c r="B935" s="106"/>
      <c r="C935" s="107"/>
      <c r="D935" s="108"/>
      <c r="E935" s="109"/>
      <c r="F935" s="107"/>
      <c r="G935" s="110"/>
      <c r="H935" s="109"/>
      <c r="I935" s="9"/>
      <c r="J935" s="9"/>
      <c r="K935" s="9"/>
      <c r="L935" s="9"/>
      <c r="M935" s="9"/>
      <c r="N935" s="9"/>
      <c r="O935" s="9"/>
      <c r="P935" s="9"/>
      <c r="Q935" s="9"/>
      <c r="R935" s="9"/>
      <c r="S935" s="9"/>
      <c r="T935" s="9"/>
      <c r="U935" s="9"/>
      <c r="V935" s="9"/>
      <c r="W935" s="9"/>
      <c r="X935" s="9"/>
      <c r="Y935" s="9"/>
      <c r="Z935" s="9"/>
      <c r="AA935" s="9"/>
      <c r="AB935" s="9"/>
      <c r="AC935" s="9"/>
    </row>
    <row r="936" ht="15.75" customHeight="1">
      <c r="B936" s="106"/>
      <c r="C936" s="107"/>
      <c r="D936" s="108"/>
      <c r="E936" s="109"/>
      <c r="F936" s="107"/>
      <c r="G936" s="110"/>
      <c r="H936" s="109"/>
      <c r="I936" s="9"/>
      <c r="J936" s="9"/>
      <c r="K936" s="9"/>
      <c r="L936" s="9"/>
      <c r="M936" s="9"/>
      <c r="N936" s="9"/>
      <c r="O936" s="9"/>
      <c r="P936" s="9"/>
      <c r="Q936" s="9"/>
      <c r="R936" s="9"/>
      <c r="S936" s="9"/>
      <c r="T936" s="9"/>
      <c r="U936" s="9"/>
      <c r="V936" s="9"/>
      <c r="W936" s="9"/>
      <c r="X936" s="9"/>
      <c r="Y936" s="9"/>
      <c r="Z936" s="9"/>
      <c r="AA936" s="9"/>
      <c r="AB936" s="9"/>
      <c r="AC936" s="9"/>
    </row>
    <row r="937" ht="15.75" customHeight="1">
      <c r="B937" s="106"/>
      <c r="C937" s="107"/>
      <c r="D937" s="108"/>
      <c r="E937" s="109"/>
      <c r="F937" s="107"/>
      <c r="G937" s="110"/>
      <c r="H937" s="109"/>
      <c r="I937" s="9"/>
      <c r="J937" s="9"/>
      <c r="K937" s="9"/>
      <c r="L937" s="9"/>
      <c r="M937" s="9"/>
      <c r="N937" s="9"/>
      <c r="O937" s="9"/>
      <c r="P937" s="9"/>
      <c r="Q937" s="9"/>
      <c r="R937" s="9"/>
      <c r="S937" s="9"/>
      <c r="T937" s="9"/>
      <c r="U937" s="9"/>
      <c r="V937" s="9"/>
      <c r="W937" s="9"/>
      <c r="X937" s="9"/>
      <c r="Y937" s="9"/>
      <c r="Z937" s="9"/>
      <c r="AA937" s="9"/>
      <c r="AB937" s="9"/>
      <c r="AC937" s="9"/>
    </row>
    <row r="938" ht="15.75" customHeight="1">
      <c r="B938" s="106"/>
      <c r="C938" s="107"/>
      <c r="D938" s="108"/>
      <c r="E938" s="109"/>
      <c r="F938" s="107"/>
      <c r="G938" s="110"/>
      <c r="H938" s="109"/>
      <c r="I938" s="9"/>
      <c r="J938" s="9"/>
      <c r="K938" s="9"/>
      <c r="L938" s="9"/>
      <c r="M938" s="9"/>
      <c r="N938" s="9"/>
      <c r="O938" s="9"/>
      <c r="P938" s="9"/>
      <c r="Q938" s="9"/>
      <c r="R938" s="9"/>
      <c r="S938" s="9"/>
      <c r="T938" s="9"/>
      <c r="U938" s="9"/>
      <c r="V938" s="9"/>
      <c r="W938" s="9"/>
      <c r="X938" s="9"/>
      <c r="Y938" s="9"/>
      <c r="Z938" s="9"/>
      <c r="AA938" s="9"/>
      <c r="AB938" s="9"/>
      <c r="AC938" s="9"/>
    </row>
    <row r="939" ht="15.75" customHeight="1">
      <c r="B939" s="106"/>
      <c r="C939" s="107"/>
      <c r="D939" s="108"/>
      <c r="E939" s="109"/>
      <c r="F939" s="107"/>
      <c r="G939" s="110"/>
      <c r="H939" s="109"/>
      <c r="I939" s="9"/>
      <c r="J939" s="9"/>
      <c r="K939" s="9"/>
      <c r="L939" s="9"/>
      <c r="M939" s="9"/>
      <c r="N939" s="9"/>
      <c r="O939" s="9"/>
      <c r="P939" s="9"/>
      <c r="Q939" s="9"/>
      <c r="R939" s="9"/>
      <c r="S939" s="9"/>
      <c r="T939" s="9"/>
      <c r="U939" s="9"/>
      <c r="V939" s="9"/>
      <c r="W939" s="9"/>
      <c r="X939" s="9"/>
      <c r="Y939" s="9"/>
      <c r="Z939" s="9"/>
      <c r="AA939" s="9"/>
      <c r="AB939" s="9"/>
      <c r="AC939" s="9"/>
    </row>
    <row r="940" ht="15.75" customHeight="1">
      <c r="B940" s="106"/>
      <c r="C940" s="107"/>
      <c r="D940" s="108"/>
      <c r="E940" s="109"/>
      <c r="F940" s="107"/>
      <c r="G940" s="110"/>
      <c r="H940" s="109"/>
      <c r="I940" s="9"/>
      <c r="J940" s="9"/>
      <c r="K940" s="9"/>
      <c r="L940" s="9"/>
      <c r="M940" s="9"/>
      <c r="N940" s="9"/>
      <c r="O940" s="9"/>
      <c r="P940" s="9"/>
      <c r="Q940" s="9"/>
      <c r="R940" s="9"/>
      <c r="S940" s="9"/>
      <c r="T940" s="9"/>
      <c r="U940" s="9"/>
      <c r="V940" s="9"/>
      <c r="W940" s="9"/>
      <c r="X940" s="9"/>
      <c r="Y940" s="9"/>
      <c r="Z940" s="9"/>
      <c r="AA940" s="9"/>
      <c r="AB940" s="9"/>
      <c r="AC940" s="9"/>
    </row>
    <row r="941" ht="15.75" customHeight="1">
      <c r="B941" s="106"/>
      <c r="C941" s="107"/>
      <c r="D941" s="108"/>
      <c r="E941" s="109"/>
      <c r="F941" s="107"/>
      <c r="G941" s="110"/>
      <c r="H941" s="109"/>
      <c r="I941" s="9"/>
      <c r="J941" s="9"/>
      <c r="K941" s="9"/>
      <c r="L941" s="9"/>
      <c r="M941" s="9"/>
      <c r="N941" s="9"/>
      <c r="O941" s="9"/>
      <c r="P941" s="9"/>
      <c r="Q941" s="9"/>
      <c r="R941" s="9"/>
      <c r="S941" s="9"/>
      <c r="T941" s="9"/>
      <c r="U941" s="9"/>
      <c r="V941" s="9"/>
      <c r="W941" s="9"/>
      <c r="X941" s="9"/>
      <c r="Y941" s="9"/>
      <c r="Z941" s="9"/>
      <c r="AA941" s="9"/>
      <c r="AB941" s="9"/>
      <c r="AC941" s="9"/>
    </row>
    <row r="942" ht="15.75" customHeight="1">
      <c r="B942" s="106"/>
      <c r="C942" s="107"/>
      <c r="D942" s="108"/>
      <c r="E942" s="109"/>
      <c r="F942" s="107"/>
      <c r="G942" s="110"/>
      <c r="H942" s="109"/>
      <c r="I942" s="9"/>
      <c r="J942" s="9"/>
      <c r="K942" s="9"/>
      <c r="L942" s="9"/>
      <c r="M942" s="9"/>
      <c r="N942" s="9"/>
      <c r="O942" s="9"/>
      <c r="P942" s="9"/>
      <c r="Q942" s="9"/>
      <c r="R942" s="9"/>
      <c r="S942" s="9"/>
      <c r="T942" s="9"/>
      <c r="U942" s="9"/>
      <c r="V942" s="9"/>
      <c r="W942" s="9"/>
      <c r="X942" s="9"/>
      <c r="Y942" s="9"/>
      <c r="Z942" s="9"/>
      <c r="AA942" s="9"/>
      <c r="AB942" s="9"/>
      <c r="AC942" s="9"/>
    </row>
    <row r="943" ht="15.75" customHeight="1">
      <c r="B943" s="106"/>
      <c r="C943" s="107"/>
      <c r="D943" s="108"/>
      <c r="E943" s="109"/>
      <c r="F943" s="107"/>
      <c r="G943" s="110"/>
      <c r="H943" s="109"/>
      <c r="I943" s="9"/>
      <c r="J943" s="9"/>
      <c r="K943" s="9"/>
      <c r="L943" s="9"/>
      <c r="M943" s="9"/>
      <c r="N943" s="9"/>
      <c r="O943" s="9"/>
      <c r="P943" s="9"/>
      <c r="Q943" s="9"/>
      <c r="R943" s="9"/>
      <c r="S943" s="9"/>
      <c r="T943" s="9"/>
      <c r="U943" s="9"/>
      <c r="V943" s="9"/>
      <c r="W943" s="9"/>
      <c r="X943" s="9"/>
      <c r="Y943" s="9"/>
      <c r="Z943" s="9"/>
      <c r="AA943" s="9"/>
      <c r="AB943" s="9"/>
      <c r="AC943" s="9"/>
    </row>
    <row r="944" ht="15.75" customHeight="1">
      <c r="B944" s="106"/>
      <c r="C944" s="107"/>
      <c r="D944" s="108"/>
      <c r="E944" s="109"/>
      <c r="F944" s="107"/>
      <c r="G944" s="110"/>
      <c r="H944" s="109"/>
      <c r="I944" s="9"/>
      <c r="J944" s="9"/>
      <c r="K944" s="9"/>
      <c r="L944" s="9"/>
      <c r="M944" s="9"/>
      <c r="N944" s="9"/>
      <c r="O944" s="9"/>
      <c r="P944" s="9"/>
      <c r="Q944" s="9"/>
      <c r="R944" s="9"/>
      <c r="S944" s="9"/>
      <c r="T944" s="9"/>
      <c r="U944" s="9"/>
      <c r="V944" s="9"/>
      <c r="W944" s="9"/>
      <c r="X944" s="9"/>
      <c r="Y944" s="9"/>
      <c r="Z944" s="9"/>
      <c r="AA944" s="9"/>
      <c r="AB944" s="9"/>
      <c r="AC944" s="9"/>
    </row>
    <row r="945" ht="15.75" customHeight="1">
      <c r="B945" s="106"/>
      <c r="C945" s="107"/>
      <c r="D945" s="108"/>
      <c r="E945" s="109"/>
      <c r="F945" s="107"/>
      <c r="G945" s="110"/>
      <c r="H945" s="109"/>
      <c r="I945" s="9"/>
      <c r="J945" s="9"/>
      <c r="K945" s="9"/>
      <c r="L945" s="9"/>
      <c r="M945" s="9"/>
      <c r="N945" s="9"/>
      <c r="O945" s="9"/>
      <c r="P945" s="9"/>
      <c r="Q945" s="9"/>
      <c r="R945" s="9"/>
      <c r="S945" s="9"/>
      <c r="T945" s="9"/>
      <c r="U945" s="9"/>
      <c r="V945" s="9"/>
      <c r="W945" s="9"/>
      <c r="X945" s="9"/>
      <c r="Y945" s="9"/>
      <c r="Z945" s="9"/>
      <c r="AA945" s="9"/>
      <c r="AB945" s="9"/>
      <c r="AC945" s="9"/>
    </row>
    <row r="946" ht="15.75" customHeight="1">
      <c r="B946" s="106"/>
      <c r="C946" s="107"/>
      <c r="D946" s="108"/>
      <c r="E946" s="109"/>
      <c r="F946" s="107"/>
      <c r="G946" s="110"/>
      <c r="H946" s="109"/>
      <c r="I946" s="9"/>
      <c r="J946" s="9"/>
      <c r="K946" s="9"/>
      <c r="L946" s="9"/>
      <c r="M946" s="9"/>
      <c r="N946" s="9"/>
      <c r="O946" s="9"/>
      <c r="P946" s="9"/>
      <c r="Q946" s="9"/>
      <c r="R946" s="9"/>
      <c r="S946" s="9"/>
      <c r="T946" s="9"/>
      <c r="U946" s="9"/>
      <c r="V946" s="9"/>
      <c r="W946" s="9"/>
      <c r="X946" s="9"/>
      <c r="Y946" s="9"/>
      <c r="Z946" s="9"/>
      <c r="AA946" s="9"/>
      <c r="AB946" s="9"/>
      <c r="AC946" s="9"/>
    </row>
    <row r="947" ht="15.75" customHeight="1">
      <c r="B947" s="106"/>
      <c r="C947" s="107"/>
      <c r="D947" s="108"/>
      <c r="E947" s="109"/>
      <c r="F947" s="107"/>
      <c r="G947" s="110"/>
      <c r="H947" s="109"/>
      <c r="I947" s="9"/>
      <c r="J947" s="9"/>
      <c r="K947" s="9"/>
      <c r="L947" s="9"/>
      <c r="M947" s="9"/>
      <c r="N947" s="9"/>
      <c r="O947" s="9"/>
      <c r="P947" s="9"/>
      <c r="Q947" s="9"/>
      <c r="R947" s="9"/>
      <c r="S947" s="9"/>
      <c r="T947" s="9"/>
      <c r="U947" s="9"/>
      <c r="V947" s="9"/>
      <c r="W947" s="9"/>
      <c r="X947" s="9"/>
      <c r="Y947" s="9"/>
      <c r="Z947" s="9"/>
      <c r="AA947" s="9"/>
      <c r="AB947" s="9"/>
      <c r="AC947" s="9"/>
    </row>
    <row r="948" ht="15.75" customHeight="1">
      <c r="B948" s="106"/>
      <c r="C948" s="107"/>
      <c r="D948" s="108"/>
      <c r="E948" s="109"/>
      <c r="F948" s="107"/>
      <c r="G948" s="110"/>
      <c r="H948" s="109"/>
      <c r="I948" s="9"/>
      <c r="J948" s="9"/>
      <c r="K948" s="9"/>
      <c r="L948" s="9"/>
      <c r="M948" s="9"/>
      <c r="N948" s="9"/>
      <c r="O948" s="9"/>
      <c r="P948" s="9"/>
      <c r="Q948" s="9"/>
      <c r="R948" s="9"/>
      <c r="S948" s="9"/>
      <c r="T948" s="9"/>
      <c r="U948" s="9"/>
      <c r="V948" s="9"/>
      <c r="W948" s="9"/>
      <c r="X948" s="9"/>
      <c r="Y948" s="9"/>
      <c r="Z948" s="9"/>
      <c r="AA948" s="9"/>
      <c r="AB948" s="9"/>
      <c r="AC948" s="9"/>
    </row>
    <row r="949" ht="15.75" customHeight="1">
      <c r="B949" s="106"/>
      <c r="C949" s="107"/>
      <c r="D949" s="108"/>
      <c r="E949" s="109"/>
      <c r="F949" s="107"/>
      <c r="G949" s="110"/>
      <c r="H949" s="109"/>
      <c r="I949" s="9"/>
      <c r="J949" s="9"/>
      <c r="K949" s="9"/>
      <c r="L949" s="9"/>
      <c r="M949" s="9"/>
      <c r="N949" s="9"/>
      <c r="O949" s="9"/>
      <c r="P949" s="9"/>
      <c r="Q949" s="9"/>
      <c r="R949" s="9"/>
      <c r="S949" s="9"/>
      <c r="T949" s="9"/>
      <c r="U949" s="9"/>
      <c r="V949" s="9"/>
      <c r="W949" s="9"/>
      <c r="X949" s="9"/>
      <c r="Y949" s="9"/>
      <c r="Z949" s="9"/>
      <c r="AA949" s="9"/>
      <c r="AB949" s="9"/>
      <c r="AC949" s="9"/>
    </row>
    <row r="950" ht="15.75" customHeight="1">
      <c r="B950" s="106"/>
      <c r="C950" s="107"/>
      <c r="D950" s="108"/>
      <c r="E950" s="109"/>
      <c r="F950" s="107"/>
      <c r="G950" s="110"/>
      <c r="H950" s="109"/>
      <c r="I950" s="9"/>
      <c r="J950" s="9"/>
      <c r="K950" s="9"/>
      <c r="L950" s="9"/>
      <c r="M950" s="9"/>
      <c r="N950" s="9"/>
      <c r="O950" s="9"/>
      <c r="P950" s="9"/>
      <c r="Q950" s="9"/>
      <c r="R950" s="9"/>
      <c r="S950" s="9"/>
      <c r="T950" s="9"/>
      <c r="U950" s="9"/>
      <c r="V950" s="9"/>
      <c r="W950" s="9"/>
      <c r="X950" s="9"/>
      <c r="Y950" s="9"/>
      <c r="Z950" s="9"/>
      <c r="AA950" s="9"/>
      <c r="AB950" s="9"/>
      <c r="AC950" s="9"/>
    </row>
    <row r="951" ht="15.75" customHeight="1">
      <c r="B951" s="106"/>
      <c r="C951" s="107"/>
      <c r="D951" s="108"/>
      <c r="E951" s="109"/>
      <c r="F951" s="107"/>
      <c r="G951" s="110"/>
      <c r="H951" s="109"/>
      <c r="I951" s="9"/>
      <c r="J951" s="9"/>
      <c r="K951" s="9"/>
      <c r="L951" s="9"/>
      <c r="M951" s="9"/>
      <c r="N951" s="9"/>
      <c r="O951" s="9"/>
      <c r="P951" s="9"/>
      <c r="Q951" s="9"/>
      <c r="R951" s="9"/>
      <c r="S951" s="9"/>
      <c r="T951" s="9"/>
      <c r="U951" s="9"/>
      <c r="V951" s="9"/>
      <c r="W951" s="9"/>
      <c r="X951" s="9"/>
      <c r="Y951" s="9"/>
      <c r="Z951" s="9"/>
      <c r="AA951" s="9"/>
      <c r="AB951" s="9"/>
      <c r="AC951" s="9"/>
    </row>
    <row r="952" ht="15.75" customHeight="1">
      <c r="B952" s="106"/>
      <c r="C952" s="107"/>
      <c r="D952" s="108"/>
      <c r="E952" s="109"/>
      <c r="F952" s="107"/>
      <c r="G952" s="110"/>
      <c r="H952" s="109"/>
      <c r="I952" s="9"/>
      <c r="J952" s="9"/>
      <c r="K952" s="9"/>
      <c r="L952" s="9"/>
      <c r="M952" s="9"/>
      <c r="N952" s="9"/>
      <c r="O952" s="9"/>
      <c r="P952" s="9"/>
      <c r="Q952" s="9"/>
      <c r="R952" s="9"/>
      <c r="S952" s="9"/>
      <c r="T952" s="9"/>
      <c r="U952" s="9"/>
      <c r="V952" s="9"/>
      <c r="W952" s="9"/>
      <c r="X952" s="9"/>
      <c r="Y952" s="9"/>
      <c r="Z952" s="9"/>
      <c r="AA952" s="9"/>
      <c r="AB952" s="9"/>
      <c r="AC952" s="9"/>
    </row>
    <row r="953" ht="15.75" customHeight="1">
      <c r="B953" s="106"/>
      <c r="C953" s="107"/>
      <c r="D953" s="108"/>
      <c r="E953" s="109"/>
      <c r="F953" s="107"/>
      <c r="G953" s="110"/>
      <c r="H953" s="109"/>
      <c r="I953" s="9"/>
      <c r="J953" s="9"/>
      <c r="K953" s="9"/>
      <c r="L953" s="9"/>
      <c r="M953" s="9"/>
      <c r="N953" s="9"/>
      <c r="O953" s="9"/>
      <c r="P953" s="9"/>
      <c r="Q953" s="9"/>
      <c r="R953" s="9"/>
      <c r="S953" s="9"/>
      <c r="T953" s="9"/>
      <c r="U953" s="9"/>
      <c r="V953" s="9"/>
      <c r="W953" s="9"/>
      <c r="X953" s="9"/>
      <c r="Y953" s="9"/>
      <c r="Z953" s="9"/>
      <c r="AA953" s="9"/>
      <c r="AB953" s="9"/>
      <c r="AC953" s="9"/>
    </row>
    <row r="954" ht="15.75" customHeight="1">
      <c r="B954" s="106"/>
      <c r="C954" s="107"/>
      <c r="D954" s="108"/>
      <c r="E954" s="109"/>
      <c r="F954" s="107"/>
      <c r="G954" s="110"/>
      <c r="H954" s="109"/>
      <c r="I954" s="9"/>
      <c r="J954" s="9"/>
      <c r="K954" s="9"/>
      <c r="L954" s="9"/>
      <c r="M954" s="9"/>
      <c r="N954" s="9"/>
      <c r="O954" s="9"/>
      <c r="P954" s="9"/>
      <c r="Q954" s="9"/>
      <c r="R954" s="9"/>
      <c r="S954" s="9"/>
      <c r="T954" s="9"/>
      <c r="U954" s="9"/>
      <c r="V954" s="9"/>
      <c r="W954" s="9"/>
      <c r="X954" s="9"/>
      <c r="Y954" s="9"/>
      <c r="Z954" s="9"/>
      <c r="AA954" s="9"/>
      <c r="AB954" s="9"/>
      <c r="AC954" s="9"/>
    </row>
    <row r="955" ht="15.75" customHeight="1">
      <c r="B955" s="106"/>
      <c r="C955" s="107"/>
      <c r="D955" s="108"/>
      <c r="E955" s="109"/>
      <c r="F955" s="107"/>
      <c r="G955" s="110"/>
      <c r="H955" s="109"/>
      <c r="I955" s="9"/>
      <c r="J955" s="9"/>
      <c r="K955" s="9"/>
      <c r="L955" s="9"/>
      <c r="M955" s="9"/>
      <c r="N955" s="9"/>
      <c r="O955" s="9"/>
      <c r="P955" s="9"/>
      <c r="Q955" s="9"/>
      <c r="R955" s="9"/>
      <c r="S955" s="9"/>
      <c r="T955" s="9"/>
      <c r="U955" s="9"/>
      <c r="V955" s="9"/>
      <c r="W955" s="9"/>
      <c r="X955" s="9"/>
      <c r="Y955" s="9"/>
      <c r="Z955" s="9"/>
      <c r="AA955" s="9"/>
      <c r="AB955" s="9"/>
      <c r="AC955" s="9"/>
    </row>
    <row r="956" ht="15.75" customHeight="1">
      <c r="B956" s="106"/>
      <c r="C956" s="107"/>
      <c r="D956" s="108"/>
      <c r="E956" s="109"/>
      <c r="F956" s="107"/>
      <c r="G956" s="110"/>
      <c r="H956" s="109"/>
      <c r="I956" s="9"/>
      <c r="J956" s="9"/>
      <c r="K956" s="9"/>
      <c r="L956" s="9"/>
      <c r="M956" s="9"/>
      <c r="N956" s="9"/>
      <c r="O956" s="9"/>
      <c r="P956" s="9"/>
      <c r="Q956" s="9"/>
      <c r="R956" s="9"/>
      <c r="S956" s="9"/>
      <c r="T956" s="9"/>
      <c r="U956" s="9"/>
      <c r="V956" s="9"/>
      <c r="W956" s="9"/>
      <c r="X956" s="9"/>
      <c r="Y956" s="9"/>
      <c r="Z956" s="9"/>
      <c r="AA956" s="9"/>
      <c r="AB956" s="9"/>
      <c r="AC956" s="9"/>
    </row>
    <row r="957" ht="15.75" customHeight="1">
      <c r="B957" s="106"/>
      <c r="C957" s="107"/>
      <c r="D957" s="108"/>
      <c r="E957" s="109"/>
      <c r="F957" s="107"/>
      <c r="G957" s="110"/>
      <c r="H957" s="109"/>
      <c r="I957" s="9"/>
      <c r="J957" s="9"/>
      <c r="K957" s="9"/>
      <c r="L957" s="9"/>
      <c r="M957" s="9"/>
      <c r="N957" s="9"/>
      <c r="O957" s="9"/>
      <c r="P957" s="9"/>
      <c r="Q957" s="9"/>
      <c r="R957" s="9"/>
      <c r="S957" s="9"/>
      <c r="T957" s="9"/>
      <c r="U957" s="9"/>
      <c r="V957" s="9"/>
      <c r="W957" s="9"/>
      <c r="X957" s="9"/>
      <c r="Y957" s="9"/>
      <c r="Z957" s="9"/>
      <c r="AA957" s="9"/>
      <c r="AB957" s="9"/>
      <c r="AC957" s="9"/>
    </row>
    <row r="958" ht="15.75" customHeight="1">
      <c r="B958" s="106"/>
      <c r="C958" s="107"/>
      <c r="D958" s="108"/>
      <c r="E958" s="109"/>
      <c r="F958" s="107"/>
      <c r="G958" s="110"/>
      <c r="H958" s="109"/>
      <c r="I958" s="9"/>
      <c r="J958" s="9"/>
      <c r="K958" s="9"/>
      <c r="L958" s="9"/>
      <c r="M958" s="9"/>
      <c r="N958" s="9"/>
      <c r="O958" s="9"/>
      <c r="P958" s="9"/>
      <c r="Q958" s="9"/>
      <c r="R958" s="9"/>
      <c r="S958" s="9"/>
      <c r="T958" s="9"/>
      <c r="U958" s="9"/>
      <c r="V958" s="9"/>
      <c r="W958" s="9"/>
      <c r="X958" s="9"/>
      <c r="Y958" s="9"/>
      <c r="Z958" s="9"/>
      <c r="AA958" s="9"/>
      <c r="AB958" s="9"/>
      <c r="AC958" s="9"/>
    </row>
    <row r="959" ht="15.75" customHeight="1">
      <c r="B959" s="106"/>
      <c r="C959" s="107"/>
      <c r="D959" s="108"/>
      <c r="E959" s="109"/>
      <c r="F959" s="107"/>
      <c r="G959" s="110"/>
      <c r="H959" s="109"/>
      <c r="I959" s="9"/>
      <c r="J959" s="9"/>
      <c r="K959" s="9"/>
      <c r="L959" s="9"/>
      <c r="M959" s="9"/>
      <c r="N959" s="9"/>
      <c r="O959" s="9"/>
      <c r="P959" s="9"/>
      <c r="Q959" s="9"/>
      <c r="R959" s="9"/>
      <c r="S959" s="9"/>
      <c r="T959" s="9"/>
      <c r="U959" s="9"/>
      <c r="V959" s="9"/>
      <c r="W959" s="9"/>
      <c r="X959" s="9"/>
      <c r="Y959" s="9"/>
      <c r="Z959" s="9"/>
      <c r="AA959" s="9"/>
      <c r="AB959" s="9"/>
      <c r="AC959" s="9"/>
    </row>
    <row r="960" ht="15.75" customHeight="1">
      <c r="B960" s="106"/>
      <c r="C960" s="107"/>
      <c r="D960" s="108"/>
      <c r="E960" s="109"/>
      <c r="F960" s="107"/>
      <c r="G960" s="110"/>
      <c r="H960" s="109"/>
      <c r="I960" s="9"/>
      <c r="J960" s="9"/>
      <c r="K960" s="9"/>
      <c r="L960" s="9"/>
      <c r="M960" s="9"/>
      <c r="N960" s="9"/>
      <c r="O960" s="9"/>
      <c r="P960" s="9"/>
      <c r="Q960" s="9"/>
      <c r="R960" s="9"/>
      <c r="S960" s="9"/>
      <c r="T960" s="9"/>
      <c r="U960" s="9"/>
      <c r="V960" s="9"/>
      <c r="W960" s="9"/>
      <c r="X960" s="9"/>
      <c r="Y960" s="9"/>
      <c r="Z960" s="9"/>
      <c r="AA960" s="9"/>
      <c r="AB960" s="9"/>
      <c r="AC960" s="9"/>
    </row>
    <row r="961" ht="15.75" customHeight="1">
      <c r="B961" s="106"/>
      <c r="C961" s="107"/>
      <c r="D961" s="108"/>
      <c r="E961" s="109"/>
      <c r="F961" s="107"/>
      <c r="G961" s="110"/>
      <c r="H961" s="109"/>
      <c r="I961" s="9"/>
      <c r="J961" s="9"/>
      <c r="K961" s="9"/>
      <c r="L961" s="9"/>
      <c r="M961" s="9"/>
      <c r="N961" s="9"/>
      <c r="O961" s="9"/>
      <c r="P961" s="9"/>
      <c r="Q961" s="9"/>
      <c r="R961" s="9"/>
      <c r="S961" s="9"/>
      <c r="T961" s="9"/>
      <c r="U961" s="9"/>
      <c r="V961" s="9"/>
      <c r="W961" s="9"/>
      <c r="X961" s="9"/>
      <c r="Y961" s="9"/>
      <c r="Z961" s="9"/>
      <c r="AA961" s="9"/>
      <c r="AB961" s="9"/>
      <c r="AC961" s="9"/>
    </row>
    <row r="962" ht="15.75" customHeight="1">
      <c r="B962" s="106"/>
      <c r="C962" s="107"/>
      <c r="D962" s="108"/>
      <c r="E962" s="109"/>
      <c r="F962" s="107"/>
      <c r="G962" s="110"/>
      <c r="H962" s="109"/>
      <c r="I962" s="9"/>
      <c r="J962" s="9"/>
      <c r="K962" s="9"/>
      <c r="L962" s="9"/>
      <c r="M962" s="9"/>
      <c r="N962" s="9"/>
      <c r="O962" s="9"/>
      <c r="P962" s="9"/>
      <c r="Q962" s="9"/>
      <c r="R962" s="9"/>
      <c r="S962" s="9"/>
      <c r="T962" s="9"/>
      <c r="U962" s="9"/>
      <c r="V962" s="9"/>
      <c r="W962" s="9"/>
      <c r="X962" s="9"/>
      <c r="Y962" s="9"/>
      <c r="Z962" s="9"/>
      <c r="AA962" s="9"/>
      <c r="AB962" s="9"/>
      <c r="AC962" s="9"/>
    </row>
    <row r="963" ht="15.75" customHeight="1">
      <c r="B963" s="106"/>
      <c r="C963" s="107"/>
      <c r="D963" s="108"/>
      <c r="E963" s="109"/>
      <c r="F963" s="107"/>
      <c r="G963" s="110"/>
      <c r="H963" s="109"/>
      <c r="I963" s="9"/>
      <c r="J963" s="9"/>
      <c r="K963" s="9"/>
      <c r="L963" s="9"/>
      <c r="M963" s="9"/>
      <c r="N963" s="9"/>
      <c r="O963" s="9"/>
      <c r="P963" s="9"/>
      <c r="Q963" s="9"/>
      <c r="R963" s="9"/>
      <c r="S963" s="9"/>
      <c r="T963" s="9"/>
      <c r="U963" s="9"/>
      <c r="V963" s="9"/>
      <c r="W963" s="9"/>
      <c r="X963" s="9"/>
      <c r="Y963" s="9"/>
      <c r="Z963" s="9"/>
      <c r="AA963" s="9"/>
      <c r="AB963" s="9"/>
      <c r="AC963" s="9"/>
    </row>
    <row r="964" ht="15.75" customHeight="1">
      <c r="B964" s="106"/>
      <c r="C964" s="107"/>
      <c r="D964" s="108"/>
      <c r="E964" s="109"/>
      <c r="F964" s="107"/>
      <c r="G964" s="110"/>
      <c r="H964" s="109"/>
      <c r="I964" s="9"/>
      <c r="J964" s="9"/>
      <c r="K964" s="9"/>
      <c r="L964" s="9"/>
      <c r="M964" s="9"/>
      <c r="N964" s="9"/>
      <c r="O964" s="9"/>
      <c r="P964" s="9"/>
      <c r="Q964" s="9"/>
      <c r="R964" s="9"/>
      <c r="S964" s="9"/>
      <c r="T964" s="9"/>
      <c r="U964" s="9"/>
      <c r="V964" s="9"/>
      <c r="W964" s="9"/>
      <c r="X964" s="9"/>
      <c r="Y964" s="9"/>
      <c r="Z964" s="9"/>
      <c r="AA964" s="9"/>
      <c r="AB964" s="9"/>
      <c r="AC964" s="9"/>
    </row>
    <row r="965" ht="15.75" customHeight="1">
      <c r="B965" s="106"/>
      <c r="C965" s="107"/>
      <c r="D965" s="108"/>
      <c r="E965" s="109"/>
      <c r="F965" s="107"/>
      <c r="G965" s="110"/>
      <c r="H965" s="109"/>
      <c r="I965" s="9"/>
      <c r="J965" s="9"/>
      <c r="K965" s="9"/>
      <c r="L965" s="9"/>
      <c r="M965" s="9"/>
      <c r="N965" s="9"/>
      <c r="O965" s="9"/>
      <c r="P965" s="9"/>
      <c r="Q965" s="9"/>
      <c r="R965" s="9"/>
      <c r="S965" s="9"/>
      <c r="T965" s="9"/>
      <c r="U965" s="9"/>
      <c r="V965" s="9"/>
      <c r="W965" s="9"/>
      <c r="X965" s="9"/>
      <c r="Y965" s="9"/>
      <c r="Z965" s="9"/>
      <c r="AA965" s="9"/>
      <c r="AB965" s="9"/>
      <c r="AC965" s="9"/>
    </row>
    <row r="966" ht="15.75" customHeight="1">
      <c r="B966" s="106"/>
      <c r="C966" s="107"/>
      <c r="D966" s="108"/>
      <c r="E966" s="109"/>
      <c r="F966" s="107"/>
      <c r="G966" s="110"/>
      <c r="H966" s="109"/>
      <c r="I966" s="9"/>
      <c r="J966" s="9"/>
      <c r="K966" s="9"/>
      <c r="L966" s="9"/>
      <c r="M966" s="9"/>
      <c r="N966" s="9"/>
      <c r="O966" s="9"/>
      <c r="P966" s="9"/>
      <c r="Q966" s="9"/>
      <c r="R966" s="9"/>
      <c r="S966" s="9"/>
      <c r="T966" s="9"/>
      <c r="U966" s="9"/>
      <c r="V966" s="9"/>
      <c r="W966" s="9"/>
      <c r="X966" s="9"/>
      <c r="Y966" s="9"/>
      <c r="Z966" s="9"/>
      <c r="AA966" s="9"/>
      <c r="AB966" s="9"/>
      <c r="AC966" s="9"/>
    </row>
    <row r="967" ht="15.75" customHeight="1">
      <c r="B967" s="106"/>
      <c r="C967" s="107"/>
      <c r="D967" s="108"/>
      <c r="E967" s="109"/>
      <c r="F967" s="107"/>
      <c r="G967" s="110"/>
      <c r="H967" s="109"/>
      <c r="I967" s="9"/>
      <c r="J967" s="9"/>
      <c r="K967" s="9"/>
      <c r="L967" s="9"/>
      <c r="M967" s="9"/>
      <c r="N967" s="9"/>
      <c r="O967" s="9"/>
      <c r="P967" s="9"/>
      <c r="Q967" s="9"/>
      <c r="R967" s="9"/>
      <c r="S967" s="9"/>
      <c r="T967" s="9"/>
      <c r="U967" s="9"/>
      <c r="V967" s="9"/>
      <c r="W967" s="9"/>
      <c r="X967" s="9"/>
      <c r="Y967" s="9"/>
      <c r="Z967" s="9"/>
      <c r="AA967" s="9"/>
      <c r="AB967" s="9"/>
      <c r="AC967" s="9"/>
    </row>
    <row r="968" ht="15.75" customHeight="1">
      <c r="B968" s="106"/>
      <c r="C968" s="107"/>
      <c r="D968" s="108"/>
      <c r="E968" s="109"/>
      <c r="F968" s="107"/>
      <c r="G968" s="110"/>
      <c r="H968" s="109"/>
      <c r="I968" s="9"/>
      <c r="J968" s="9"/>
      <c r="K968" s="9"/>
      <c r="L968" s="9"/>
      <c r="M968" s="9"/>
      <c r="N968" s="9"/>
      <c r="O968" s="9"/>
      <c r="P968" s="9"/>
      <c r="Q968" s="9"/>
      <c r="R968" s="9"/>
      <c r="S968" s="9"/>
      <c r="T968" s="9"/>
      <c r="U968" s="9"/>
      <c r="V968" s="9"/>
      <c r="W968" s="9"/>
      <c r="X968" s="9"/>
      <c r="Y968" s="9"/>
      <c r="Z968" s="9"/>
      <c r="AA968" s="9"/>
      <c r="AB968" s="9"/>
      <c r="AC968" s="9"/>
    </row>
    <row r="969" ht="15.75" customHeight="1">
      <c r="B969" s="106"/>
      <c r="C969" s="107"/>
      <c r="D969" s="108"/>
      <c r="E969" s="109"/>
      <c r="F969" s="107"/>
      <c r="G969" s="110"/>
      <c r="H969" s="109"/>
      <c r="I969" s="9"/>
      <c r="J969" s="9"/>
      <c r="K969" s="9"/>
      <c r="L969" s="9"/>
      <c r="M969" s="9"/>
      <c r="N969" s="9"/>
      <c r="O969" s="9"/>
      <c r="P969" s="9"/>
      <c r="Q969" s="9"/>
      <c r="R969" s="9"/>
      <c r="S969" s="9"/>
      <c r="T969" s="9"/>
      <c r="U969" s="9"/>
      <c r="V969" s="9"/>
      <c r="W969" s="9"/>
      <c r="X969" s="9"/>
      <c r="Y969" s="9"/>
      <c r="Z969" s="9"/>
      <c r="AA969" s="9"/>
      <c r="AB969" s="9"/>
      <c r="AC969" s="9"/>
    </row>
    <row r="970" ht="15.75" customHeight="1">
      <c r="B970" s="106"/>
      <c r="C970" s="107"/>
      <c r="D970" s="108"/>
      <c r="E970" s="109"/>
      <c r="F970" s="107"/>
      <c r="G970" s="110"/>
      <c r="H970" s="109"/>
      <c r="I970" s="9"/>
      <c r="J970" s="9"/>
      <c r="K970" s="9"/>
      <c r="L970" s="9"/>
      <c r="M970" s="9"/>
      <c r="N970" s="9"/>
      <c r="O970" s="9"/>
      <c r="P970" s="9"/>
      <c r="Q970" s="9"/>
      <c r="R970" s="9"/>
      <c r="S970" s="9"/>
      <c r="T970" s="9"/>
      <c r="U970" s="9"/>
      <c r="V970" s="9"/>
      <c r="W970" s="9"/>
      <c r="X970" s="9"/>
      <c r="Y970" s="9"/>
      <c r="Z970" s="9"/>
      <c r="AA970" s="9"/>
      <c r="AB970" s="9"/>
      <c r="AC970" s="9"/>
    </row>
    <row r="971" ht="15.75" customHeight="1">
      <c r="B971" s="106"/>
      <c r="C971" s="107"/>
      <c r="D971" s="108"/>
      <c r="E971" s="109"/>
      <c r="F971" s="107"/>
      <c r="G971" s="110"/>
      <c r="H971" s="109"/>
      <c r="I971" s="9"/>
      <c r="J971" s="9"/>
      <c r="K971" s="9"/>
      <c r="L971" s="9"/>
      <c r="M971" s="9"/>
      <c r="N971" s="9"/>
      <c r="O971" s="9"/>
      <c r="P971" s="9"/>
      <c r="Q971" s="9"/>
      <c r="R971" s="9"/>
      <c r="S971" s="9"/>
      <c r="T971" s="9"/>
      <c r="U971" s="9"/>
      <c r="V971" s="9"/>
      <c r="W971" s="9"/>
      <c r="X971" s="9"/>
      <c r="Y971" s="9"/>
      <c r="Z971" s="9"/>
      <c r="AA971" s="9"/>
      <c r="AB971" s="9"/>
      <c r="AC971" s="9"/>
    </row>
    <row r="972" ht="15.75" customHeight="1">
      <c r="B972" s="106"/>
      <c r="C972" s="107"/>
      <c r="D972" s="108"/>
      <c r="E972" s="109"/>
      <c r="F972" s="107"/>
      <c r="G972" s="110"/>
      <c r="H972" s="109"/>
      <c r="I972" s="9"/>
      <c r="J972" s="9"/>
      <c r="K972" s="9"/>
      <c r="L972" s="9"/>
      <c r="M972" s="9"/>
      <c r="N972" s="9"/>
      <c r="O972" s="9"/>
      <c r="P972" s="9"/>
      <c r="Q972" s="9"/>
      <c r="R972" s="9"/>
      <c r="S972" s="9"/>
      <c r="T972" s="9"/>
      <c r="U972" s="9"/>
      <c r="V972" s="9"/>
      <c r="W972" s="9"/>
      <c r="X972" s="9"/>
      <c r="Y972" s="9"/>
      <c r="Z972" s="9"/>
      <c r="AA972" s="9"/>
      <c r="AB972" s="9"/>
      <c r="AC972" s="9"/>
    </row>
    <row r="973" ht="15.75" customHeight="1">
      <c r="B973" s="106"/>
      <c r="C973" s="107"/>
      <c r="D973" s="108"/>
      <c r="E973" s="109"/>
      <c r="F973" s="107"/>
      <c r="G973" s="110"/>
      <c r="H973" s="109"/>
      <c r="I973" s="9"/>
      <c r="J973" s="9"/>
      <c r="K973" s="9"/>
      <c r="L973" s="9"/>
      <c r="M973" s="9"/>
      <c r="N973" s="9"/>
      <c r="O973" s="9"/>
      <c r="P973" s="9"/>
      <c r="Q973" s="9"/>
      <c r="R973" s="9"/>
      <c r="S973" s="9"/>
      <c r="T973" s="9"/>
      <c r="U973" s="9"/>
      <c r="V973" s="9"/>
      <c r="W973" s="9"/>
      <c r="X973" s="9"/>
      <c r="Y973" s="9"/>
      <c r="Z973" s="9"/>
      <c r="AA973" s="9"/>
      <c r="AB973" s="9"/>
      <c r="AC973" s="9"/>
    </row>
    <row r="974" ht="15.75" customHeight="1">
      <c r="B974" s="106"/>
      <c r="C974" s="107"/>
      <c r="D974" s="108"/>
      <c r="E974" s="109"/>
      <c r="F974" s="107"/>
      <c r="G974" s="110"/>
      <c r="H974" s="109"/>
      <c r="I974" s="9"/>
      <c r="J974" s="9"/>
      <c r="K974" s="9"/>
      <c r="L974" s="9"/>
      <c r="M974" s="9"/>
      <c r="N974" s="9"/>
      <c r="O974" s="9"/>
      <c r="P974" s="9"/>
      <c r="Q974" s="9"/>
      <c r="R974" s="9"/>
      <c r="S974" s="9"/>
      <c r="T974" s="9"/>
      <c r="U974" s="9"/>
      <c r="V974" s="9"/>
      <c r="W974" s="9"/>
      <c r="X974" s="9"/>
      <c r="Y974" s="9"/>
      <c r="Z974" s="9"/>
      <c r="AA974" s="9"/>
      <c r="AB974" s="9"/>
      <c r="AC974" s="9"/>
    </row>
    <row r="975" ht="15.75" customHeight="1">
      <c r="B975" s="106"/>
      <c r="C975" s="107"/>
      <c r="D975" s="108"/>
      <c r="E975" s="109"/>
      <c r="F975" s="107"/>
      <c r="G975" s="110"/>
      <c r="H975" s="109"/>
      <c r="I975" s="9"/>
      <c r="J975" s="9"/>
      <c r="K975" s="9"/>
      <c r="L975" s="9"/>
      <c r="M975" s="9"/>
      <c r="N975" s="9"/>
      <c r="O975" s="9"/>
      <c r="P975" s="9"/>
      <c r="Q975" s="9"/>
      <c r="R975" s="9"/>
      <c r="S975" s="9"/>
      <c r="T975" s="9"/>
      <c r="U975" s="9"/>
      <c r="V975" s="9"/>
      <c r="W975" s="9"/>
      <c r="X975" s="9"/>
      <c r="Y975" s="9"/>
      <c r="Z975" s="9"/>
      <c r="AA975" s="9"/>
      <c r="AB975" s="9"/>
      <c r="AC975" s="9"/>
    </row>
    <row r="976" ht="15.75" customHeight="1">
      <c r="B976" s="106"/>
      <c r="C976" s="107"/>
      <c r="D976" s="108"/>
      <c r="E976" s="109"/>
      <c r="F976" s="107"/>
      <c r="G976" s="110"/>
      <c r="H976" s="109"/>
      <c r="I976" s="9"/>
      <c r="J976" s="9"/>
      <c r="K976" s="9"/>
      <c r="L976" s="9"/>
      <c r="M976" s="9"/>
      <c r="N976" s="9"/>
      <c r="O976" s="9"/>
      <c r="P976" s="9"/>
      <c r="Q976" s="9"/>
      <c r="R976" s="9"/>
      <c r="S976" s="9"/>
      <c r="T976" s="9"/>
      <c r="U976" s="9"/>
      <c r="V976" s="9"/>
      <c r="W976" s="9"/>
      <c r="X976" s="9"/>
      <c r="Y976" s="9"/>
      <c r="Z976" s="9"/>
      <c r="AA976" s="9"/>
      <c r="AB976" s="9"/>
      <c r="AC976" s="9"/>
    </row>
    <row r="977" ht="15.75" customHeight="1">
      <c r="B977" s="106"/>
      <c r="C977" s="107"/>
      <c r="D977" s="108"/>
      <c r="E977" s="109"/>
      <c r="F977" s="107"/>
      <c r="G977" s="110"/>
      <c r="H977" s="109"/>
      <c r="I977" s="9"/>
      <c r="J977" s="9"/>
      <c r="K977" s="9"/>
      <c r="L977" s="9"/>
      <c r="M977" s="9"/>
      <c r="N977" s="9"/>
      <c r="O977" s="9"/>
      <c r="P977" s="9"/>
      <c r="Q977" s="9"/>
      <c r="R977" s="9"/>
      <c r="S977" s="9"/>
      <c r="T977" s="9"/>
      <c r="U977" s="9"/>
      <c r="V977" s="9"/>
      <c r="W977" s="9"/>
      <c r="X977" s="9"/>
      <c r="Y977" s="9"/>
      <c r="Z977" s="9"/>
      <c r="AA977" s="9"/>
      <c r="AB977" s="9"/>
      <c r="AC977" s="9"/>
    </row>
    <row r="978" ht="15.75" customHeight="1">
      <c r="B978" s="106"/>
      <c r="C978" s="107"/>
      <c r="D978" s="108"/>
      <c r="E978" s="109"/>
      <c r="F978" s="107"/>
      <c r="G978" s="110"/>
      <c r="H978" s="109"/>
      <c r="I978" s="9"/>
      <c r="J978" s="9"/>
      <c r="K978" s="9"/>
      <c r="L978" s="9"/>
      <c r="M978" s="9"/>
      <c r="N978" s="9"/>
      <c r="O978" s="9"/>
      <c r="P978" s="9"/>
      <c r="Q978" s="9"/>
      <c r="R978" s="9"/>
      <c r="S978" s="9"/>
      <c r="T978" s="9"/>
      <c r="U978" s="9"/>
      <c r="V978" s="9"/>
      <c r="W978" s="9"/>
      <c r="X978" s="9"/>
      <c r="Y978" s="9"/>
      <c r="Z978" s="9"/>
      <c r="AA978" s="9"/>
      <c r="AB978" s="9"/>
      <c r="AC978" s="9"/>
    </row>
    <row r="979" ht="15.75" customHeight="1">
      <c r="B979" s="106"/>
      <c r="C979" s="107"/>
      <c r="D979" s="108"/>
      <c r="E979" s="109"/>
      <c r="F979" s="107"/>
      <c r="G979" s="110"/>
      <c r="H979" s="109"/>
      <c r="I979" s="9"/>
      <c r="J979" s="9"/>
      <c r="K979" s="9"/>
      <c r="L979" s="9"/>
      <c r="M979" s="9"/>
      <c r="N979" s="9"/>
      <c r="O979" s="9"/>
      <c r="P979" s="9"/>
      <c r="Q979" s="9"/>
      <c r="R979" s="9"/>
      <c r="S979" s="9"/>
      <c r="T979" s="9"/>
      <c r="U979" s="9"/>
      <c r="V979" s="9"/>
      <c r="W979" s="9"/>
      <c r="X979" s="9"/>
      <c r="Y979" s="9"/>
      <c r="Z979" s="9"/>
      <c r="AA979" s="9"/>
      <c r="AB979" s="9"/>
      <c r="AC979" s="9"/>
    </row>
    <row r="980" ht="15.75" customHeight="1">
      <c r="B980" s="106"/>
      <c r="C980" s="107"/>
      <c r="D980" s="108"/>
      <c r="E980" s="109"/>
      <c r="F980" s="107"/>
      <c r="G980" s="110"/>
      <c r="H980" s="109"/>
      <c r="I980" s="9"/>
      <c r="J980" s="9"/>
      <c r="K980" s="9"/>
      <c r="L980" s="9"/>
      <c r="M980" s="9"/>
      <c r="N980" s="9"/>
      <c r="O980" s="9"/>
      <c r="P980" s="9"/>
      <c r="Q980" s="9"/>
      <c r="R980" s="9"/>
      <c r="S980" s="9"/>
      <c r="T980" s="9"/>
      <c r="U980" s="9"/>
      <c r="V980" s="9"/>
      <c r="W980" s="9"/>
      <c r="X980" s="9"/>
      <c r="Y980" s="9"/>
      <c r="Z980" s="9"/>
      <c r="AA980" s="9"/>
      <c r="AB980" s="9"/>
      <c r="AC980" s="9"/>
    </row>
    <row r="981" ht="15.75" customHeight="1">
      <c r="B981" s="106"/>
      <c r="C981" s="107"/>
      <c r="D981" s="108"/>
      <c r="E981" s="109"/>
      <c r="F981" s="107"/>
      <c r="G981" s="110"/>
      <c r="H981" s="109"/>
      <c r="I981" s="9"/>
      <c r="J981" s="9"/>
      <c r="K981" s="9"/>
      <c r="L981" s="9"/>
      <c r="M981" s="9"/>
      <c r="N981" s="9"/>
      <c r="O981" s="9"/>
      <c r="P981" s="9"/>
      <c r="Q981" s="9"/>
      <c r="R981" s="9"/>
      <c r="S981" s="9"/>
      <c r="T981" s="9"/>
      <c r="U981" s="9"/>
      <c r="V981" s="9"/>
      <c r="W981" s="9"/>
      <c r="X981" s="9"/>
      <c r="Y981" s="9"/>
      <c r="Z981" s="9"/>
      <c r="AA981" s="9"/>
      <c r="AB981" s="9"/>
      <c r="AC981" s="9"/>
    </row>
    <row r="982" ht="15.75" customHeight="1">
      <c r="B982" s="106"/>
      <c r="C982" s="107"/>
      <c r="D982" s="108"/>
      <c r="E982" s="109"/>
      <c r="F982" s="107"/>
      <c r="G982" s="110"/>
      <c r="H982" s="109"/>
      <c r="I982" s="9"/>
      <c r="J982" s="9"/>
      <c r="K982" s="9"/>
      <c r="L982" s="9"/>
      <c r="M982" s="9"/>
      <c r="N982" s="9"/>
      <c r="O982" s="9"/>
      <c r="P982" s="9"/>
      <c r="Q982" s="9"/>
      <c r="R982" s="9"/>
      <c r="S982" s="9"/>
      <c r="T982" s="9"/>
      <c r="U982" s="9"/>
      <c r="V982" s="9"/>
      <c r="W982" s="9"/>
      <c r="X982" s="9"/>
      <c r="Y982" s="9"/>
      <c r="Z982" s="9"/>
      <c r="AA982" s="9"/>
      <c r="AB982" s="9"/>
      <c r="AC982" s="9"/>
    </row>
    <row r="983" ht="15.75" customHeight="1">
      <c r="B983" s="106"/>
      <c r="C983" s="107"/>
      <c r="D983" s="108"/>
      <c r="E983" s="109"/>
      <c r="F983" s="107"/>
      <c r="G983" s="110"/>
      <c r="H983" s="109"/>
      <c r="I983" s="9"/>
      <c r="J983" s="9"/>
      <c r="K983" s="9"/>
      <c r="L983" s="9"/>
      <c r="M983" s="9"/>
      <c r="N983" s="9"/>
      <c r="O983" s="9"/>
      <c r="P983" s="9"/>
      <c r="Q983" s="9"/>
      <c r="R983" s="9"/>
      <c r="S983" s="9"/>
      <c r="T983" s="9"/>
      <c r="U983" s="9"/>
      <c r="V983" s="9"/>
      <c r="W983" s="9"/>
      <c r="X983" s="9"/>
      <c r="Y983" s="9"/>
      <c r="Z983" s="9"/>
      <c r="AA983" s="9"/>
      <c r="AB983" s="9"/>
      <c r="AC983" s="9"/>
    </row>
    <row r="984" ht="15.75" customHeight="1">
      <c r="B984" s="106"/>
      <c r="C984" s="107"/>
      <c r="D984" s="108"/>
      <c r="E984" s="109"/>
      <c r="F984" s="107"/>
      <c r="G984" s="110"/>
      <c r="H984" s="109"/>
      <c r="I984" s="9"/>
      <c r="J984" s="9"/>
      <c r="K984" s="9"/>
      <c r="L984" s="9"/>
      <c r="M984" s="9"/>
      <c r="N984" s="9"/>
      <c r="O984" s="9"/>
      <c r="P984" s="9"/>
      <c r="Q984" s="9"/>
      <c r="R984" s="9"/>
      <c r="S984" s="9"/>
      <c r="T984" s="9"/>
      <c r="U984" s="9"/>
      <c r="V984" s="9"/>
      <c r="W984" s="9"/>
      <c r="X984" s="9"/>
      <c r="Y984" s="9"/>
      <c r="Z984" s="9"/>
      <c r="AA984" s="9"/>
      <c r="AB984" s="9"/>
      <c r="AC984" s="9"/>
    </row>
    <row r="985" ht="15.75" customHeight="1">
      <c r="B985" s="106"/>
      <c r="C985" s="107"/>
      <c r="D985" s="108"/>
      <c r="E985" s="109"/>
      <c r="F985" s="107"/>
      <c r="G985" s="110"/>
      <c r="H985" s="109"/>
      <c r="I985" s="9"/>
      <c r="J985" s="9"/>
      <c r="K985" s="9"/>
      <c r="L985" s="9"/>
      <c r="M985" s="9"/>
      <c r="N985" s="9"/>
      <c r="O985" s="9"/>
      <c r="P985" s="9"/>
      <c r="Q985" s="9"/>
      <c r="R985" s="9"/>
      <c r="S985" s="9"/>
      <c r="T985" s="9"/>
      <c r="U985" s="9"/>
      <c r="V985" s="9"/>
      <c r="W985" s="9"/>
      <c r="X985" s="9"/>
      <c r="Y985" s="9"/>
      <c r="Z985" s="9"/>
      <c r="AA985" s="9"/>
      <c r="AB985" s="9"/>
      <c r="AC985" s="9"/>
    </row>
    <row r="986" ht="15.75" customHeight="1">
      <c r="B986" s="106"/>
      <c r="C986" s="107"/>
      <c r="D986" s="108"/>
      <c r="E986" s="109"/>
      <c r="F986" s="107"/>
      <c r="G986" s="110"/>
      <c r="H986" s="109"/>
      <c r="I986" s="9"/>
      <c r="J986" s="9"/>
      <c r="K986" s="9"/>
      <c r="L986" s="9"/>
      <c r="M986" s="9"/>
      <c r="N986" s="9"/>
      <c r="O986" s="9"/>
      <c r="P986" s="9"/>
      <c r="Q986" s="9"/>
      <c r="R986" s="9"/>
      <c r="S986" s="9"/>
      <c r="T986" s="9"/>
      <c r="U986" s="9"/>
      <c r="V986" s="9"/>
      <c r="W986" s="9"/>
      <c r="X986" s="9"/>
      <c r="Y986" s="9"/>
      <c r="Z986" s="9"/>
      <c r="AA986" s="9"/>
      <c r="AB986" s="9"/>
      <c r="AC986" s="9"/>
    </row>
    <row r="987" ht="15.75" customHeight="1">
      <c r="B987" s="106"/>
      <c r="C987" s="107"/>
      <c r="D987" s="108"/>
      <c r="E987" s="109"/>
      <c r="F987" s="107"/>
      <c r="G987" s="110"/>
      <c r="H987" s="109"/>
      <c r="I987" s="9"/>
      <c r="J987" s="9"/>
      <c r="K987" s="9"/>
      <c r="L987" s="9"/>
      <c r="M987" s="9"/>
      <c r="N987" s="9"/>
      <c r="O987" s="9"/>
      <c r="P987" s="9"/>
      <c r="Q987" s="9"/>
      <c r="R987" s="9"/>
      <c r="S987" s="9"/>
      <c r="T987" s="9"/>
      <c r="U987" s="9"/>
      <c r="V987" s="9"/>
      <c r="W987" s="9"/>
      <c r="X987" s="9"/>
      <c r="Y987" s="9"/>
      <c r="Z987" s="9"/>
      <c r="AA987" s="9"/>
      <c r="AB987" s="9"/>
      <c r="AC987" s="9"/>
    </row>
    <row r="988" ht="15.75" customHeight="1">
      <c r="B988" s="106"/>
      <c r="C988" s="107"/>
      <c r="D988" s="108"/>
      <c r="E988" s="109"/>
      <c r="F988" s="107"/>
      <c r="G988" s="110"/>
      <c r="H988" s="109"/>
      <c r="I988" s="9"/>
      <c r="J988" s="9"/>
      <c r="K988" s="9"/>
      <c r="L988" s="9"/>
      <c r="M988" s="9"/>
      <c r="N988" s="9"/>
      <c r="O988" s="9"/>
      <c r="P988" s="9"/>
      <c r="Q988" s="9"/>
      <c r="R988" s="9"/>
      <c r="S988" s="9"/>
      <c r="T988" s="9"/>
      <c r="U988" s="9"/>
      <c r="V988" s="9"/>
      <c r="W988" s="9"/>
      <c r="X988" s="9"/>
      <c r="Y988" s="9"/>
      <c r="Z988" s="9"/>
      <c r="AA988" s="9"/>
      <c r="AB988" s="9"/>
      <c r="AC988" s="9"/>
    </row>
    <row r="989" ht="15.75" customHeight="1">
      <c r="B989" s="106"/>
      <c r="C989" s="107"/>
      <c r="D989" s="108"/>
      <c r="E989" s="109"/>
      <c r="F989" s="107"/>
      <c r="G989" s="110"/>
      <c r="H989" s="109"/>
      <c r="I989" s="9"/>
      <c r="J989" s="9"/>
      <c r="K989" s="9"/>
      <c r="L989" s="9"/>
      <c r="M989" s="9"/>
      <c r="N989" s="9"/>
      <c r="O989" s="9"/>
      <c r="P989" s="9"/>
      <c r="Q989" s="9"/>
      <c r="R989" s="9"/>
      <c r="S989" s="9"/>
      <c r="T989" s="9"/>
      <c r="U989" s="9"/>
      <c r="V989" s="9"/>
      <c r="W989" s="9"/>
      <c r="X989" s="9"/>
      <c r="Y989" s="9"/>
      <c r="Z989" s="9"/>
      <c r="AA989" s="9"/>
      <c r="AB989" s="9"/>
      <c r="AC989" s="9"/>
    </row>
    <row r="990" ht="15.75" customHeight="1">
      <c r="B990" s="106"/>
      <c r="C990" s="107"/>
      <c r="D990" s="108"/>
      <c r="E990" s="109"/>
      <c r="F990" s="107"/>
      <c r="G990" s="110"/>
      <c r="H990" s="109"/>
      <c r="I990" s="9"/>
      <c r="J990" s="9"/>
      <c r="K990" s="9"/>
      <c r="L990" s="9"/>
      <c r="M990" s="9"/>
      <c r="N990" s="9"/>
      <c r="O990" s="9"/>
      <c r="P990" s="9"/>
      <c r="Q990" s="9"/>
      <c r="R990" s="9"/>
      <c r="S990" s="9"/>
      <c r="T990" s="9"/>
      <c r="U990" s="9"/>
      <c r="V990" s="9"/>
      <c r="W990" s="9"/>
      <c r="X990" s="9"/>
      <c r="Y990" s="9"/>
      <c r="Z990" s="9"/>
      <c r="AA990" s="9"/>
      <c r="AB990" s="9"/>
      <c r="AC990" s="9"/>
    </row>
    <row r="991" ht="15.75" customHeight="1">
      <c r="B991" s="106"/>
      <c r="C991" s="107"/>
      <c r="D991" s="108"/>
      <c r="E991" s="109"/>
      <c r="F991" s="107"/>
      <c r="G991" s="110"/>
      <c r="H991" s="109"/>
      <c r="I991" s="9"/>
      <c r="J991" s="9"/>
      <c r="K991" s="9"/>
      <c r="L991" s="9"/>
      <c r="M991" s="9"/>
      <c r="N991" s="9"/>
      <c r="O991" s="9"/>
      <c r="P991" s="9"/>
      <c r="Q991" s="9"/>
      <c r="R991" s="9"/>
      <c r="S991" s="9"/>
      <c r="T991" s="9"/>
      <c r="U991" s="9"/>
      <c r="V991" s="9"/>
      <c r="W991" s="9"/>
      <c r="X991" s="9"/>
      <c r="Y991" s="9"/>
      <c r="Z991" s="9"/>
      <c r="AA991" s="9"/>
      <c r="AB991" s="9"/>
      <c r="AC991" s="9"/>
    </row>
    <row r="992" ht="15.75" customHeight="1">
      <c r="B992" s="106"/>
      <c r="C992" s="107"/>
      <c r="D992" s="108"/>
      <c r="E992" s="109"/>
      <c r="F992" s="107"/>
      <c r="G992" s="110"/>
      <c r="H992" s="109"/>
      <c r="I992" s="9"/>
      <c r="J992" s="9"/>
      <c r="K992" s="9"/>
      <c r="L992" s="9"/>
      <c r="M992" s="9"/>
      <c r="N992" s="9"/>
      <c r="O992" s="9"/>
      <c r="P992" s="9"/>
      <c r="Q992" s="9"/>
      <c r="R992" s="9"/>
      <c r="S992" s="9"/>
      <c r="T992" s="9"/>
      <c r="U992" s="9"/>
      <c r="V992" s="9"/>
      <c r="W992" s="9"/>
      <c r="X992" s="9"/>
      <c r="Y992" s="9"/>
      <c r="Z992" s="9"/>
      <c r="AA992" s="9"/>
      <c r="AB992" s="9"/>
      <c r="AC992" s="9"/>
    </row>
    <row r="993" ht="15.75" customHeight="1">
      <c r="B993" s="106"/>
      <c r="C993" s="107"/>
      <c r="D993" s="108"/>
      <c r="E993" s="109"/>
      <c r="F993" s="107"/>
      <c r="G993" s="110"/>
      <c r="H993" s="109"/>
      <c r="I993" s="9"/>
      <c r="J993" s="9"/>
      <c r="K993" s="9"/>
      <c r="L993" s="9"/>
      <c r="M993" s="9"/>
      <c r="N993" s="9"/>
      <c r="O993" s="9"/>
      <c r="P993" s="9"/>
      <c r="Q993" s="9"/>
      <c r="R993" s="9"/>
      <c r="S993" s="9"/>
      <c r="T993" s="9"/>
      <c r="U993" s="9"/>
      <c r="V993" s="9"/>
      <c r="W993" s="9"/>
      <c r="X993" s="9"/>
      <c r="Y993" s="9"/>
      <c r="Z993" s="9"/>
      <c r="AA993" s="9"/>
      <c r="AB993" s="9"/>
      <c r="AC993" s="9"/>
    </row>
    <row r="994" ht="15.75" customHeight="1">
      <c r="B994" s="106"/>
      <c r="C994" s="107"/>
      <c r="D994" s="108"/>
      <c r="E994" s="109"/>
      <c r="F994" s="107"/>
      <c r="G994" s="110"/>
      <c r="H994" s="109"/>
      <c r="I994" s="9"/>
      <c r="J994" s="9"/>
      <c r="K994" s="9"/>
      <c r="L994" s="9"/>
      <c r="M994" s="9"/>
      <c r="N994" s="9"/>
      <c r="O994" s="9"/>
      <c r="P994" s="9"/>
      <c r="Q994" s="9"/>
      <c r="R994" s="9"/>
      <c r="S994" s="9"/>
      <c r="T994" s="9"/>
      <c r="U994" s="9"/>
      <c r="V994" s="9"/>
      <c r="W994" s="9"/>
      <c r="X994" s="9"/>
      <c r="Y994" s="9"/>
      <c r="Z994" s="9"/>
      <c r="AA994" s="9"/>
      <c r="AB994" s="9"/>
      <c r="AC994" s="9"/>
    </row>
    <row r="995" ht="15.75" customHeight="1">
      <c r="B995" s="106"/>
      <c r="C995" s="107"/>
      <c r="D995" s="108"/>
      <c r="E995" s="109"/>
      <c r="F995" s="107"/>
      <c r="G995" s="110"/>
      <c r="H995" s="109"/>
      <c r="I995" s="9"/>
      <c r="J995" s="9"/>
      <c r="K995" s="9"/>
      <c r="L995" s="9"/>
      <c r="M995" s="9"/>
      <c r="N995" s="9"/>
      <c r="O995" s="9"/>
      <c r="P995" s="9"/>
      <c r="Q995" s="9"/>
      <c r="R995" s="9"/>
      <c r="S995" s="9"/>
      <c r="T995" s="9"/>
      <c r="U995" s="9"/>
      <c r="V995" s="9"/>
      <c r="W995" s="9"/>
      <c r="X995" s="9"/>
      <c r="Y995" s="9"/>
      <c r="Z995" s="9"/>
      <c r="AA995" s="9"/>
      <c r="AB995" s="9"/>
      <c r="AC995" s="9"/>
    </row>
    <row r="996" ht="15.75" customHeight="1">
      <c r="B996" s="106"/>
      <c r="C996" s="107"/>
      <c r="D996" s="108"/>
      <c r="E996" s="109"/>
      <c r="F996" s="107"/>
      <c r="G996" s="110"/>
      <c r="H996" s="109"/>
      <c r="I996" s="9"/>
      <c r="J996" s="9"/>
      <c r="K996" s="9"/>
      <c r="L996" s="9"/>
      <c r="M996" s="9"/>
      <c r="N996" s="9"/>
      <c r="O996" s="9"/>
      <c r="P996" s="9"/>
      <c r="Q996" s="9"/>
      <c r="R996" s="9"/>
      <c r="S996" s="9"/>
      <c r="T996" s="9"/>
      <c r="U996" s="9"/>
      <c r="V996" s="9"/>
      <c r="W996" s="9"/>
      <c r="X996" s="9"/>
      <c r="Y996" s="9"/>
      <c r="Z996" s="9"/>
      <c r="AA996" s="9"/>
      <c r="AB996" s="9"/>
      <c r="AC996" s="9"/>
    </row>
    <row r="997" ht="15.75" customHeight="1">
      <c r="B997" s="106"/>
      <c r="C997" s="107"/>
      <c r="D997" s="108"/>
      <c r="E997" s="109"/>
      <c r="F997" s="107"/>
      <c r="G997" s="110"/>
      <c r="H997" s="109"/>
      <c r="I997" s="9"/>
      <c r="J997" s="9"/>
      <c r="K997" s="9"/>
      <c r="L997" s="9"/>
      <c r="M997" s="9"/>
      <c r="N997" s="9"/>
      <c r="O997" s="9"/>
      <c r="P997" s="9"/>
      <c r="Q997" s="9"/>
      <c r="R997" s="9"/>
      <c r="S997" s="9"/>
      <c r="T997" s="9"/>
      <c r="U997" s="9"/>
      <c r="V997" s="9"/>
      <c r="W997" s="9"/>
      <c r="X997" s="9"/>
      <c r="Y997" s="9"/>
      <c r="Z997" s="9"/>
      <c r="AA997" s="9"/>
      <c r="AB997" s="9"/>
      <c r="AC997" s="9"/>
    </row>
    <row r="998" ht="15.75" customHeight="1">
      <c r="B998" s="106"/>
      <c r="C998" s="107"/>
      <c r="D998" s="108"/>
      <c r="E998" s="109"/>
      <c r="F998" s="107"/>
      <c r="G998" s="110"/>
      <c r="H998" s="109"/>
      <c r="I998" s="9"/>
      <c r="J998" s="9"/>
      <c r="K998" s="9"/>
      <c r="L998" s="9"/>
      <c r="M998" s="9"/>
      <c r="N998" s="9"/>
      <c r="O998" s="9"/>
      <c r="P998" s="9"/>
      <c r="Q998" s="9"/>
      <c r="R998" s="9"/>
      <c r="S998" s="9"/>
      <c r="T998" s="9"/>
      <c r="U998" s="9"/>
      <c r="V998" s="9"/>
      <c r="W998" s="9"/>
      <c r="X998" s="9"/>
      <c r="Y998" s="9"/>
      <c r="Z998" s="9"/>
      <c r="AA998" s="9"/>
      <c r="AB998" s="9"/>
      <c r="AC998" s="9"/>
    </row>
    <row r="999" ht="15.75" customHeight="1">
      <c r="B999" s="106"/>
      <c r="C999" s="107"/>
      <c r="D999" s="108"/>
      <c r="E999" s="109"/>
      <c r="F999" s="107"/>
      <c r="G999" s="110"/>
      <c r="H999" s="109"/>
      <c r="I999" s="9"/>
      <c r="J999" s="9"/>
      <c r="K999" s="9"/>
      <c r="L999" s="9"/>
      <c r="M999" s="9"/>
      <c r="N999" s="9"/>
      <c r="O999" s="9"/>
      <c r="P999" s="9"/>
      <c r="Q999" s="9"/>
      <c r="R999" s="9"/>
      <c r="S999" s="9"/>
      <c r="T999" s="9"/>
      <c r="U999" s="9"/>
      <c r="V999" s="9"/>
      <c r="W999" s="9"/>
      <c r="X999" s="9"/>
      <c r="Y999" s="9"/>
      <c r="Z999" s="9"/>
      <c r="AA999" s="9"/>
      <c r="AB999" s="9"/>
      <c r="AC999" s="9"/>
    </row>
    <row r="1000" ht="15.75" customHeight="1">
      <c r="B1000" s="106"/>
      <c r="C1000" s="107"/>
      <c r="D1000" s="108"/>
      <c r="E1000" s="109"/>
      <c r="F1000" s="107"/>
      <c r="G1000" s="110"/>
      <c r="H1000" s="109"/>
      <c r="I1000" s="9"/>
      <c r="J1000" s="9"/>
      <c r="K1000" s="9"/>
      <c r="L1000" s="9"/>
      <c r="M1000" s="9"/>
      <c r="N1000" s="9"/>
      <c r="O1000" s="9"/>
      <c r="P1000" s="9"/>
      <c r="Q1000" s="9"/>
      <c r="R1000" s="9"/>
      <c r="S1000" s="9"/>
      <c r="T1000" s="9"/>
      <c r="U1000" s="9"/>
      <c r="V1000" s="9"/>
      <c r="W1000" s="9"/>
      <c r="X1000" s="9"/>
      <c r="Y1000" s="9"/>
      <c r="Z1000" s="9"/>
      <c r="AA1000" s="9"/>
      <c r="AB1000" s="9"/>
      <c r="AC1000" s="9"/>
    </row>
  </sheetData>
  <mergeCells count="25">
    <mergeCell ref="A243:B243"/>
    <mergeCell ref="A246:B246"/>
    <mergeCell ref="A216:B216"/>
    <mergeCell ref="A222:B222"/>
    <mergeCell ref="A204:B204"/>
    <mergeCell ref="A257:B257"/>
    <mergeCell ref="A267:B267"/>
    <mergeCell ref="A299:B299"/>
    <mergeCell ref="A252:B252"/>
    <mergeCell ref="A29:B29"/>
    <mergeCell ref="A20:B20"/>
    <mergeCell ref="A109:B109"/>
    <mergeCell ref="A96:B96"/>
    <mergeCell ref="A36:B36"/>
    <mergeCell ref="A78:B78"/>
    <mergeCell ref="A59:B59"/>
    <mergeCell ref="A49:B49"/>
    <mergeCell ref="A44:B44"/>
    <mergeCell ref="A191:B191"/>
    <mergeCell ref="A157:B157"/>
    <mergeCell ref="A154:B154"/>
    <mergeCell ref="A125:B125"/>
    <mergeCell ref="A177:B177"/>
    <mergeCell ref="A2:H2"/>
    <mergeCell ref="A1:I1"/>
  </mergeCells>
  <conditionalFormatting sqref="A204">
    <cfRule type="expression" dxfId="0" priority="1">
      <formula>$C$23="No"</formula>
    </cfRule>
  </conditionalFormatting>
  <conditionalFormatting sqref="A267">
    <cfRule type="expression" dxfId="0" priority="2">
      <formula>$C$22="No"</formula>
    </cfRule>
  </conditionalFormatting>
  <conditionalFormatting sqref="A44">
    <cfRule type="expression" dxfId="0" priority="3">
      <formula>$C$24="No"</formula>
    </cfRule>
  </conditionalFormatting>
  <conditionalFormatting sqref="A177">
    <cfRule type="expression" dxfId="1" priority="4">
      <formula>$C$26="No"</formula>
    </cfRule>
  </conditionalFormatting>
  <conditionalFormatting sqref="A162:A163 H162:H163 C162:E163">
    <cfRule type="expression" dxfId="2" priority="5">
      <formula>$C$161="No"</formula>
    </cfRule>
  </conditionalFormatting>
  <conditionalFormatting sqref="A167 H167 C167:E167">
    <cfRule type="expression" dxfId="2" priority="6">
      <formula>$C$166="No"</formula>
    </cfRule>
  </conditionalFormatting>
  <conditionalFormatting sqref="A163 H163 C163:E163">
    <cfRule type="expression" dxfId="2" priority="7">
      <formula>$C$162="No"</formula>
    </cfRule>
  </conditionalFormatting>
  <conditionalFormatting sqref="D61:E61 H61">
    <cfRule type="expression" dxfId="2" priority="8">
      <formula>$C$60="No"</formula>
    </cfRule>
  </conditionalFormatting>
  <conditionalFormatting sqref="C89:E89 H89">
    <cfRule type="expression" dxfId="2" priority="9">
      <formula>$C$88="No"</formula>
    </cfRule>
  </conditionalFormatting>
  <conditionalFormatting sqref="C91:E92 H91:H92">
    <cfRule type="expression" dxfId="2" priority="10">
      <formula>$C$90="No"</formula>
    </cfRule>
  </conditionalFormatting>
  <conditionalFormatting sqref="A259 H259 C259:E259">
    <cfRule type="expression" dxfId="2" priority="11">
      <formula>$C$258="No"</formula>
    </cfRule>
  </conditionalFormatting>
  <conditionalFormatting sqref="A262 H262 C262:E262">
    <cfRule type="expression" dxfId="2" priority="12">
      <formula>$C$261="No"</formula>
    </cfRule>
  </conditionalFormatting>
  <conditionalFormatting sqref="C212:E212 H212">
    <cfRule type="expression" dxfId="2" priority="13">
      <formula>$C$211="No"</formula>
    </cfRule>
  </conditionalFormatting>
  <conditionalFormatting sqref="C215:E215 H215">
    <cfRule type="expression" dxfId="2" priority="14">
      <formula>$C$214="No"</formula>
    </cfRule>
  </conditionalFormatting>
  <conditionalFormatting sqref="A299">
    <cfRule type="expression" dxfId="1" priority="15">
      <formula>$C$27="No"</formula>
    </cfRule>
  </conditionalFormatting>
  <conditionalFormatting sqref="A292 H292 C292:E292">
    <cfRule type="expression" dxfId="2" priority="16">
      <formula>$C$291="No"</formula>
    </cfRule>
  </conditionalFormatting>
  <conditionalFormatting sqref="A240 H240 C240:E240">
    <cfRule type="expression" dxfId="2" priority="17">
      <formula>$C$239="No"</formula>
    </cfRule>
  </conditionalFormatting>
  <conditionalFormatting sqref="C56:H56">
    <cfRule type="expression" dxfId="2" priority="18">
      <formula>$C$55="No"</formula>
    </cfRule>
  </conditionalFormatting>
  <conditionalFormatting sqref="C58 E58:H58">
    <cfRule type="expression" dxfId="2" priority="19">
      <formula>$C$57="No"</formula>
    </cfRule>
  </conditionalFormatting>
  <conditionalFormatting sqref="A49">
    <cfRule type="expression" dxfId="0" priority="20">
      <formula>$C$28="No"</formula>
    </cfRule>
  </conditionalFormatting>
  <conditionalFormatting sqref="C149:D149 C150:C153">
    <cfRule type="expression" dxfId="2" priority="21">
      <formula>$C$148="No"</formula>
    </cfRule>
  </conditionalFormatting>
  <conditionalFormatting sqref="C137:E137 H137">
    <cfRule type="expression" dxfId="2" priority="22">
      <formula>$C$136="No"</formula>
    </cfRule>
  </conditionalFormatting>
  <conditionalFormatting sqref="A111 H111 C111:E111">
    <cfRule type="expression" dxfId="2" priority="23">
      <formula>$C$110="No"</formula>
    </cfRule>
  </conditionalFormatting>
  <conditionalFormatting sqref="A173 H173 C173:E173">
    <cfRule type="expression" dxfId="2" priority="24">
      <formula>$C$172="No"</formula>
    </cfRule>
  </conditionalFormatting>
  <conditionalFormatting sqref="A202 H202 C202:E202">
    <cfRule type="expression" dxfId="2" priority="25">
      <formula>$C$201="No"</formula>
    </cfRule>
  </conditionalFormatting>
  <conditionalFormatting sqref="I184:I185 I188 C183:H183">
    <cfRule type="expression" dxfId="2" priority="26">
      <formula>$C$182="No"</formula>
    </cfRule>
  </conditionalFormatting>
  <conditionalFormatting sqref="A96">
    <cfRule type="expression" dxfId="1" priority="27">
      <formula>$C$25="No"</formula>
    </cfRule>
  </conditionalFormatting>
  <conditionalFormatting sqref="A275:A276 H275:H276 C275:E276">
    <cfRule type="expression" dxfId="2" priority="28">
      <formula>$C$274="No"</formula>
    </cfRule>
  </conditionalFormatting>
  <conditionalFormatting sqref="A276 H276 C276:E276">
    <cfRule type="expression" dxfId="2" priority="29">
      <formula>$C$275="No"</formula>
    </cfRule>
  </conditionalFormatting>
  <conditionalFormatting sqref="E50:E58 H50:I58">
    <cfRule type="expression" dxfId="3" priority="30">
      <formula>$C$28="No"</formula>
    </cfRule>
  </conditionalFormatting>
  <conditionalFormatting sqref="E45:E48">
    <cfRule type="expression" dxfId="4" priority="31">
      <formula>$C$24="No"</formula>
    </cfRule>
  </conditionalFormatting>
  <conditionalFormatting sqref="C256:D256">
    <cfRule type="expression" dxfId="2" priority="32">
      <formula>$C$166="No"</formula>
    </cfRule>
  </conditionalFormatting>
  <conditionalFormatting sqref="C242:D242">
    <cfRule type="expression" dxfId="2" priority="33">
      <formula>$C$237="No"</formula>
    </cfRule>
  </conditionalFormatting>
  <conditionalFormatting sqref="A59:B59 A78:B78 A96:B96 A109:B109 A125:B125 A157:B157 A177:B177 A191:B191 A204:B204 A222:B222 A243:B243 A246:B246 A252:B252 A267:B267 A299:B299">
    <cfRule type="expression" dxfId="0" priority="34">
      <formula>$C$28="Yes"</formula>
    </cfRule>
  </conditionalFormatting>
  <conditionalFormatting sqref="A154:B154">
    <cfRule type="expression" dxfId="0" priority="35">
      <formula>$C$28="Yes"</formula>
    </cfRule>
  </conditionalFormatting>
  <conditionalFormatting sqref="A216:B216">
    <cfRule type="expression" dxfId="0" priority="36">
      <formula>$C$28="Yes"</formula>
    </cfRule>
  </conditionalFormatting>
  <conditionalFormatting sqref="A257:B257">
    <cfRule type="expression" dxfId="0" priority="37">
      <formula>$C$28="Yes"</formula>
    </cfRule>
  </conditionalFormatting>
  <conditionalFormatting sqref="E61 E268:E298 H268:H298 E63 E223:E242 H223:I241 H63 I89 I92:I95 I117 I121:I124 I151 I161:I163 I165:I169 I175:I176 I184:I185 I188 I280:I285 I287:I296 I298 I79:I87 E79:E95 H79:H95 E97:E108 H97:H108 E178:E190 H178:H190 H242 E126:E153 H126:H153 I126:I148 B135:B153">
    <cfRule type="expression" dxfId="4" priority="38">
      <formula>$C$28="Yes"</formula>
    </cfRule>
  </conditionalFormatting>
  <conditionalFormatting sqref="E110:E124">
    <cfRule type="expression" dxfId="4" priority="39">
      <formula>$C$28="Yes"</formula>
    </cfRule>
  </conditionalFormatting>
  <conditionalFormatting sqref="E155:E156">
    <cfRule type="expression" dxfId="4" priority="40">
      <formula>$C$28="Yes"</formula>
    </cfRule>
  </conditionalFormatting>
  <conditionalFormatting sqref="E158:E176">
    <cfRule type="expression" dxfId="4" priority="41">
      <formula>$C$28="Yes"</formula>
    </cfRule>
  </conditionalFormatting>
  <conditionalFormatting sqref="E192:E203">
    <cfRule type="expression" dxfId="4" priority="42">
      <formula>$C$28="Yes"</formula>
    </cfRule>
  </conditionalFormatting>
  <conditionalFormatting sqref="E205:E215">
    <cfRule type="expression" dxfId="4" priority="43">
      <formula>$C$28="Yes"</formula>
    </cfRule>
  </conditionalFormatting>
  <conditionalFormatting sqref="E217:E221">
    <cfRule type="expression" dxfId="4" priority="44">
      <formula>$C$28="Yes"</formula>
    </cfRule>
  </conditionalFormatting>
  <conditionalFormatting sqref="E244:E245">
    <cfRule type="expression" dxfId="4" priority="45">
      <formula>$C$28="Yes"</formula>
    </cfRule>
  </conditionalFormatting>
  <conditionalFormatting sqref="E247:E251">
    <cfRule type="expression" dxfId="4" priority="46">
      <formula>$C$28="Yes"</formula>
    </cfRule>
  </conditionalFormatting>
  <conditionalFormatting sqref="E253:E256">
    <cfRule type="expression" dxfId="4" priority="47">
      <formula>$C$28="Yes"</formula>
    </cfRule>
  </conditionalFormatting>
  <conditionalFormatting sqref="E258:E266">
    <cfRule type="expression" dxfId="4" priority="48">
      <formula>$C$28="Yes"</formula>
    </cfRule>
  </conditionalFormatting>
  <conditionalFormatting sqref="E300:E311">
    <cfRule type="expression" dxfId="4" priority="49">
      <formula>$C$28="Yes"</formula>
    </cfRule>
  </conditionalFormatting>
  <conditionalFormatting sqref="A295:A298 H295 C295:E295">
    <cfRule type="expression" dxfId="2" priority="50">
      <formula>$C$294="No"</formula>
    </cfRule>
  </conditionalFormatting>
  <conditionalFormatting sqref="F162:F163">
    <cfRule type="expression" dxfId="2" priority="51">
      <formula>$C$161="No"</formula>
    </cfRule>
  </conditionalFormatting>
  <conditionalFormatting sqref="F167">
    <cfRule type="expression" dxfId="2" priority="52">
      <formula>$C$166="No"</formula>
    </cfRule>
  </conditionalFormatting>
  <conditionalFormatting sqref="F163">
    <cfRule type="expression" dxfId="2" priority="53">
      <formula>$C$162="No"</formula>
    </cfRule>
  </conditionalFormatting>
  <conditionalFormatting sqref="F89">
    <cfRule type="expression" dxfId="2" priority="54">
      <formula>$C$88="No"</formula>
    </cfRule>
  </conditionalFormatting>
  <conditionalFormatting sqref="F91:F92">
    <cfRule type="expression" dxfId="2" priority="55">
      <formula>$C$90="No"</formula>
    </cfRule>
  </conditionalFormatting>
  <conditionalFormatting sqref="F259">
    <cfRule type="expression" dxfId="2" priority="56">
      <formula>$C$258="No"</formula>
    </cfRule>
  </conditionalFormatting>
  <conditionalFormatting sqref="F262">
    <cfRule type="expression" dxfId="2" priority="57">
      <formula>$C$261="No"</formula>
    </cfRule>
  </conditionalFormatting>
  <conditionalFormatting sqref="F212">
    <cfRule type="expression" dxfId="2" priority="58">
      <formula>$C$211="No"</formula>
    </cfRule>
  </conditionalFormatting>
  <conditionalFormatting sqref="F215">
    <cfRule type="expression" dxfId="2" priority="59">
      <formula>$C$214="No"</formula>
    </cfRule>
  </conditionalFormatting>
  <conditionalFormatting sqref="F292">
    <cfRule type="expression" dxfId="2" priority="60">
      <formula>$C$291="No"</formula>
    </cfRule>
  </conditionalFormatting>
  <conditionalFormatting sqref="F240">
    <cfRule type="expression" dxfId="2" priority="61">
      <formula>$C$239="No"</formula>
    </cfRule>
  </conditionalFormatting>
  <conditionalFormatting sqref="F149:F153">
    <cfRule type="expression" dxfId="2" priority="62">
      <formula>$C$148="No"</formula>
    </cfRule>
  </conditionalFormatting>
  <conditionalFormatting sqref="F137">
    <cfRule type="expression" dxfId="2" priority="63">
      <formula>$C$136="No"</formula>
    </cfRule>
  </conditionalFormatting>
  <conditionalFormatting sqref="F111">
    <cfRule type="expression" dxfId="2" priority="64">
      <formula>$C$110="No"</formula>
    </cfRule>
  </conditionalFormatting>
  <conditionalFormatting sqref="F173">
    <cfRule type="expression" dxfId="2" priority="65">
      <formula>$C$172="No"</formula>
    </cfRule>
  </conditionalFormatting>
  <conditionalFormatting sqref="F202">
    <cfRule type="expression" dxfId="2" priority="66">
      <formula>$C$201="No"</formula>
    </cfRule>
  </conditionalFormatting>
  <conditionalFormatting sqref="F275:F276">
    <cfRule type="expression" dxfId="2" priority="67">
      <formula>$C$274="No"</formula>
    </cfRule>
  </conditionalFormatting>
  <conditionalFormatting sqref="F276">
    <cfRule type="expression" dxfId="2" priority="68">
      <formula>$C$275="No"</formula>
    </cfRule>
  </conditionalFormatting>
  <conditionalFormatting sqref="H45:H48">
    <cfRule type="expression" dxfId="4" priority="69">
      <formula>$C$24="No"</formula>
    </cfRule>
  </conditionalFormatting>
  <conditionalFormatting sqref="F256">
    <cfRule type="expression" dxfId="2" priority="70">
      <formula>$C$166="No"</formula>
    </cfRule>
  </conditionalFormatting>
  <conditionalFormatting sqref="F242">
    <cfRule type="expression" dxfId="2" priority="71">
      <formula>$C$237="No"</formula>
    </cfRule>
  </conditionalFormatting>
  <conditionalFormatting sqref="H60:H61">
    <cfRule type="expression" dxfId="4" priority="72">
      <formula>$C$28="Yes"</formula>
    </cfRule>
  </conditionalFormatting>
  <conditionalFormatting sqref="H110:H124">
    <cfRule type="expression" dxfId="4" priority="73">
      <formula>$C$28="Yes"</formula>
    </cfRule>
  </conditionalFormatting>
  <conditionalFormatting sqref="H155:H156">
    <cfRule type="expression" dxfId="4" priority="74">
      <formula>$C$28="Yes"</formula>
    </cfRule>
  </conditionalFormatting>
  <conditionalFormatting sqref="H158:H176">
    <cfRule type="expression" dxfId="4" priority="75">
      <formula>$C$28="Yes"</formula>
    </cfRule>
  </conditionalFormatting>
  <conditionalFormatting sqref="H192:H203">
    <cfRule type="expression" dxfId="4" priority="76">
      <formula>$C$28="Yes"</formula>
    </cfRule>
  </conditionalFormatting>
  <conditionalFormatting sqref="H205:H215">
    <cfRule type="expression" dxfId="4" priority="77">
      <formula>$C$28="Yes"</formula>
    </cfRule>
  </conditionalFormatting>
  <conditionalFormatting sqref="H217:H221">
    <cfRule type="expression" dxfId="4" priority="78">
      <formula>$C$28="Yes"</formula>
    </cfRule>
  </conditionalFormatting>
  <conditionalFormatting sqref="H244:H245">
    <cfRule type="expression" dxfId="4" priority="79">
      <formula>$C$28="Yes"</formula>
    </cfRule>
  </conditionalFormatting>
  <conditionalFormatting sqref="H247:H251">
    <cfRule type="expression" dxfId="4" priority="80">
      <formula>$C$28="Yes"</formula>
    </cfRule>
  </conditionalFormatting>
  <conditionalFormatting sqref="H253:H256">
    <cfRule type="expression" dxfId="4" priority="81">
      <formula>$C$28="Yes"</formula>
    </cfRule>
  </conditionalFormatting>
  <conditionalFormatting sqref="H258:H266">
    <cfRule type="expression" dxfId="4" priority="82">
      <formula>$C$28="Yes"</formula>
    </cfRule>
  </conditionalFormatting>
  <conditionalFormatting sqref="H300:H311">
    <cfRule type="expression" dxfId="4" priority="83">
      <formula>$C$28="Yes"</formula>
    </cfRule>
  </conditionalFormatting>
  <conditionalFormatting sqref="F295">
    <cfRule type="expression" dxfId="2" priority="84">
      <formula>$C$294="No"</formula>
    </cfRule>
  </conditionalFormatting>
  <conditionalFormatting sqref="G162:G163">
    <cfRule type="expression" dxfId="2" priority="85">
      <formula>$C$161="No"</formula>
    </cfRule>
  </conditionalFormatting>
  <conditionalFormatting sqref="G167">
    <cfRule type="expression" dxfId="2" priority="86">
      <formula>$C$166="No"</formula>
    </cfRule>
  </conditionalFormatting>
  <conditionalFormatting sqref="G163">
    <cfRule type="expression" dxfId="2" priority="87">
      <formula>$C$162="No"</formula>
    </cfRule>
  </conditionalFormatting>
  <conditionalFormatting sqref="G89">
    <cfRule type="expression" dxfId="2" priority="88">
      <formula>$C$88="No"</formula>
    </cfRule>
  </conditionalFormatting>
  <conditionalFormatting sqref="G91:G92">
    <cfRule type="expression" dxfId="2" priority="89">
      <formula>$C$90="No"</formula>
    </cfRule>
  </conditionalFormatting>
  <conditionalFormatting sqref="G259">
    <cfRule type="expression" dxfId="2" priority="90">
      <formula>$C$258="No"</formula>
    </cfRule>
  </conditionalFormatting>
  <conditionalFormatting sqref="G262">
    <cfRule type="expression" dxfId="2" priority="91">
      <formula>$C$261="No"</formula>
    </cfRule>
  </conditionalFormatting>
  <conditionalFormatting sqref="G212">
    <cfRule type="expression" dxfId="2" priority="92">
      <formula>$C$211="No"</formula>
    </cfRule>
  </conditionalFormatting>
  <conditionalFormatting sqref="G215">
    <cfRule type="expression" dxfId="2" priority="93">
      <formula>$C$214="No"</formula>
    </cfRule>
  </conditionalFormatting>
  <conditionalFormatting sqref="G292">
    <cfRule type="expression" dxfId="2" priority="94">
      <formula>$C$291="No"</formula>
    </cfRule>
  </conditionalFormatting>
  <conditionalFormatting sqref="G240">
    <cfRule type="expression" dxfId="2" priority="95">
      <formula>$C$239="No"</formula>
    </cfRule>
  </conditionalFormatting>
  <conditionalFormatting sqref="G149:G153">
    <cfRule type="expression" dxfId="2" priority="96">
      <formula>$C$148="No"</formula>
    </cfRule>
  </conditionalFormatting>
  <conditionalFormatting sqref="G137">
    <cfRule type="expression" dxfId="2" priority="97">
      <formula>$C$136="No"</formula>
    </cfRule>
  </conditionalFormatting>
  <conditionalFormatting sqref="G111">
    <cfRule type="expression" dxfId="2" priority="98">
      <formula>$C$110="No"</formula>
    </cfRule>
  </conditionalFormatting>
  <conditionalFormatting sqref="G173">
    <cfRule type="expression" dxfId="2" priority="99">
      <formula>$C$172="No"</formula>
    </cfRule>
  </conditionalFormatting>
  <conditionalFormatting sqref="G202">
    <cfRule type="expression" dxfId="2" priority="100">
      <formula>$C$201="No"</formula>
    </cfRule>
  </conditionalFormatting>
  <conditionalFormatting sqref="G275:G276">
    <cfRule type="expression" dxfId="2" priority="101">
      <formula>$C$274="No"</formula>
    </cfRule>
  </conditionalFormatting>
  <conditionalFormatting sqref="G276">
    <cfRule type="expression" dxfId="2" priority="102">
      <formula>$C$275="No"</formula>
    </cfRule>
  </conditionalFormatting>
  <conditionalFormatting sqref="G256">
    <cfRule type="expression" dxfId="2" priority="103">
      <formula>$C$166="No"</formula>
    </cfRule>
  </conditionalFormatting>
  <conditionalFormatting sqref="G242">
    <cfRule type="expression" dxfId="2" priority="104">
      <formula>$C$237="No"</formula>
    </cfRule>
  </conditionalFormatting>
  <conditionalFormatting sqref="G295">
    <cfRule type="expression" dxfId="2" priority="105">
      <formula>$C$294="No"</formula>
    </cfRule>
  </conditionalFormatting>
  <conditionalFormatting sqref="I45:I48">
    <cfRule type="expression" dxfId="4" priority="106">
      <formula>$C$24="No"</formula>
    </cfRule>
  </conditionalFormatting>
  <conditionalFormatting sqref="I60:I61">
    <cfRule type="expression" dxfId="2" priority="107">
      <formula>$C$60="No"</formula>
    </cfRule>
  </conditionalFormatting>
  <conditionalFormatting sqref="I60:I61">
    <cfRule type="expression" dxfId="4" priority="108">
      <formula>$C$28="Yes"</formula>
    </cfRule>
  </conditionalFormatting>
  <conditionalFormatting sqref="I88">
    <cfRule type="expression" dxfId="4" priority="109">
      <formula>$C$28="Yes"</formula>
    </cfRule>
  </conditionalFormatting>
  <conditionalFormatting sqref="I90:I91">
    <cfRule type="expression" dxfId="4" priority="110">
      <formula>$C$28="Yes"</formula>
    </cfRule>
  </conditionalFormatting>
  <conditionalFormatting sqref="I104:I108">
    <cfRule type="expression" dxfId="4" priority="111">
      <formula>$C$28="Yes"</formula>
    </cfRule>
  </conditionalFormatting>
  <conditionalFormatting sqref="I110:I114">
    <cfRule type="expression" dxfId="4" priority="112">
      <formula>$C$28="Yes"</formula>
    </cfRule>
  </conditionalFormatting>
  <conditionalFormatting sqref="I149:I150">
    <cfRule type="expression" dxfId="4" priority="113">
      <formula>$C$28="Yes"</formula>
    </cfRule>
  </conditionalFormatting>
  <conditionalFormatting sqref="I152:I153">
    <cfRule type="expression" dxfId="4" priority="114">
      <formula>$C$28="Yes"</formula>
    </cfRule>
  </conditionalFormatting>
  <conditionalFormatting sqref="I155:I156">
    <cfRule type="expression" dxfId="4" priority="115">
      <formula>$C$28="Yes"</formula>
    </cfRule>
  </conditionalFormatting>
  <conditionalFormatting sqref="I158">
    <cfRule type="expression" dxfId="4" priority="116">
      <formula>$C$28="Yes"</formula>
    </cfRule>
  </conditionalFormatting>
  <conditionalFormatting sqref="I159:I160">
    <cfRule type="expression" dxfId="4" priority="117">
      <formula>$C$28="Yes"</formula>
    </cfRule>
  </conditionalFormatting>
  <conditionalFormatting sqref="I164">
    <cfRule type="expression" dxfId="4" priority="118">
      <formula>$C$28="Yes"</formula>
    </cfRule>
  </conditionalFormatting>
  <conditionalFormatting sqref="I170:I174">
    <cfRule type="expression" dxfId="4" priority="119">
      <formula>$C$28="Yes"</formula>
    </cfRule>
  </conditionalFormatting>
  <conditionalFormatting sqref="I178:I181">
    <cfRule type="expression" dxfId="2" priority="120">
      <formula>$C$182="No"</formula>
    </cfRule>
  </conditionalFormatting>
  <conditionalFormatting sqref="I178:I181">
    <cfRule type="expression" dxfId="4" priority="121">
      <formula>$C$28="Yes"</formula>
    </cfRule>
  </conditionalFormatting>
  <conditionalFormatting sqref="I190">
    <cfRule type="expression" dxfId="4" priority="122">
      <formula>$C$28="Yes"</formula>
    </cfRule>
  </conditionalFormatting>
  <conditionalFormatting sqref="I209">
    <cfRule type="expression" dxfId="4" priority="123">
      <formula>$C$28="Yes"</formula>
    </cfRule>
  </conditionalFormatting>
  <conditionalFormatting sqref="I205:I208">
    <cfRule type="expression" dxfId="4" priority="124">
      <formula>$C$28="Yes"</formula>
    </cfRule>
  </conditionalFormatting>
  <conditionalFormatting sqref="I210:I215">
    <cfRule type="expression" dxfId="4" priority="125">
      <formula>$C$28="Yes"</formula>
    </cfRule>
  </conditionalFormatting>
  <conditionalFormatting sqref="I217:I221">
    <cfRule type="expression" dxfId="4" priority="126">
      <formula>$C$28="Yes"</formula>
    </cfRule>
  </conditionalFormatting>
  <conditionalFormatting sqref="I244:I245">
    <cfRule type="expression" dxfId="4" priority="127">
      <formula>$C$28="Yes"</formula>
    </cfRule>
  </conditionalFormatting>
  <conditionalFormatting sqref="I247:I251">
    <cfRule type="expression" dxfId="4" priority="128">
      <formula>$C$28="Yes"</formula>
    </cfRule>
  </conditionalFormatting>
  <conditionalFormatting sqref="I253:I256">
    <cfRule type="expression" dxfId="4" priority="129">
      <formula>$C$28="Yes"</formula>
    </cfRule>
  </conditionalFormatting>
  <conditionalFormatting sqref="I272:I276">
    <cfRule type="expression" dxfId="4" priority="130">
      <formula>$C$28="Yes"</formula>
    </cfRule>
  </conditionalFormatting>
  <conditionalFormatting sqref="I268:I271">
    <cfRule type="expression" dxfId="4" priority="131">
      <formula>$C$28="Yes"</formula>
    </cfRule>
  </conditionalFormatting>
  <conditionalFormatting sqref="I277:I279">
    <cfRule type="expression" dxfId="2" priority="132">
      <formula>$C$274="No"</formula>
    </cfRule>
  </conditionalFormatting>
  <conditionalFormatting sqref="I277:I279">
    <cfRule type="expression" dxfId="2" priority="133">
      <formula>$C$275="No"</formula>
    </cfRule>
  </conditionalFormatting>
  <conditionalFormatting sqref="I277:I279">
    <cfRule type="expression" dxfId="4" priority="134">
      <formula>$C$28="Yes"</formula>
    </cfRule>
  </conditionalFormatting>
  <conditionalFormatting sqref="I286">
    <cfRule type="expression" dxfId="4" priority="135">
      <formula>$C$28="Yes"</formula>
    </cfRule>
  </conditionalFormatting>
  <conditionalFormatting sqref="I297">
    <cfRule type="expression" dxfId="4" priority="136">
      <formula>$C$28="Yes"</formula>
    </cfRule>
  </conditionalFormatting>
  <conditionalFormatting sqref="I300:I311">
    <cfRule type="expression" dxfId="4" priority="137">
      <formula>$C$28="Yes"</formula>
    </cfRule>
  </conditionalFormatting>
  <conditionalFormatting sqref="B45:B47">
    <cfRule type="expression" dxfId="4" priority="138">
      <formula>$C$24="No"</formula>
    </cfRule>
  </conditionalFormatting>
  <conditionalFormatting sqref="B48">
    <cfRule type="expression" dxfId="4" priority="139">
      <formula>$C$24="No"</formula>
    </cfRule>
  </conditionalFormatting>
  <conditionalFormatting sqref="B58">
    <cfRule type="expression" dxfId="2" priority="140">
      <formula>$C$57="No"</formula>
    </cfRule>
  </conditionalFormatting>
  <conditionalFormatting sqref="B50:B55 B57:B58">
    <cfRule type="expression" dxfId="3" priority="141">
      <formula>$C$28="No"</formula>
    </cfRule>
  </conditionalFormatting>
  <conditionalFormatting sqref="B56">
    <cfRule type="expression" dxfId="3" priority="142">
      <formula>$C$28="No"</formula>
    </cfRule>
  </conditionalFormatting>
  <conditionalFormatting sqref="B60:B63">
    <cfRule type="expression" dxfId="4" priority="143">
      <formula>$C$28="Yes"</formula>
    </cfRule>
  </conditionalFormatting>
  <conditionalFormatting sqref="B66:B68">
    <cfRule type="expression" dxfId="4" priority="144">
      <formula>$C$28="Yes"</formula>
    </cfRule>
  </conditionalFormatting>
  <conditionalFormatting sqref="B65">
    <cfRule type="expression" dxfId="4" priority="145">
      <formula>$C$28="Yes"</formula>
    </cfRule>
  </conditionalFormatting>
  <conditionalFormatting sqref="B69">
    <cfRule type="expression" dxfId="4" priority="146">
      <formula>$C$28="Yes"</formula>
    </cfRule>
  </conditionalFormatting>
  <conditionalFormatting sqref="B70:B73">
    <cfRule type="expression" dxfId="4" priority="147">
      <formula>$C$28="Yes"</formula>
    </cfRule>
  </conditionalFormatting>
  <conditionalFormatting sqref="B74:B77">
    <cfRule type="expression" dxfId="4" priority="148">
      <formula>$C$28="Yes"</formula>
    </cfRule>
  </conditionalFormatting>
  <conditionalFormatting sqref="B89">
    <cfRule type="expression" dxfId="2" priority="149">
      <formula>$C$88="No"</formula>
    </cfRule>
  </conditionalFormatting>
  <conditionalFormatting sqref="B91:B92">
    <cfRule type="expression" dxfId="2" priority="150">
      <formula>$C$90="No"</formula>
    </cfRule>
  </conditionalFormatting>
  <conditionalFormatting sqref="B84:B93">
    <cfRule type="expression" dxfId="4" priority="151">
      <formula>$C$28="Yes"</formula>
    </cfRule>
  </conditionalFormatting>
  <conditionalFormatting sqref="B79">
    <cfRule type="expression" dxfId="4" priority="152">
      <formula>$C$28="Yes"</formula>
    </cfRule>
  </conditionalFormatting>
  <conditionalFormatting sqref="B83">
    <cfRule type="expression" dxfId="4" priority="153">
      <formula>$C$28="Yes"</formula>
    </cfRule>
  </conditionalFormatting>
  <conditionalFormatting sqref="B80:B82">
    <cfRule type="expression" dxfId="4" priority="154">
      <formula>$C$28="Yes"</formula>
    </cfRule>
  </conditionalFormatting>
  <conditionalFormatting sqref="B94:B95">
    <cfRule type="expression" dxfId="4" priority="155">
      <formula>$C$28="Yes"</formula>
    </cfRule>
  </conditionalFormatting>
  <conditionalFormatting sqref="B97">
    <cfRule type="expression" dxfId="4" priority="156">
      <formula>$C$25="No"</formula>
    </cfRule>
  </conditionalFormatting>
  <conditionalFormatting sqref="B97">
    <cfRule type="expression" dxfId="4" priority="157">
      <formula>$C$28="Yes"</formula>
    </cfRule>
  </conditionalFormatting>
  <conditionalFormatting sqref="B98:B99">
    <cfRule type="expression" dxfId="4" priority="158">
      <formula>$C$25="No"</formula>
    </cfRule>
  </conditionalFormatting>
  <conditionalFormatting sqref="B98:B99">
    <cfRule type="expression" dxfId="4" priority="159">
      <formula>$C$28="Yes"</formula>
    </cfRule>
  </conditionalFormatting>
  <conditionalFormatting sqref="B100:B102">
    <cfRule type="expression" dxfId="4" priority="160">
      <formula>$C$25="No"</formula>
    </cfRule>
  </conditionalFormatting>
  <conditionalFormatting sqref="B100:B102">
    <cfRule type="expression" dxfId="4" priority="161">
      <formula>$C$28="Yes"</formula>
    </cfRule>
  </conditionalFormatting>
  <conditionalFormatting sqref="B103:B105">
    <cfRule type="expression" dxfId="4" priority="162">
      <formula>$C$25="No"</formula>
    </cfRule>
  </conditionalFormatting>
  <conditionalFormatting sqref="B103:B105">
    <cfRule type="expression" dxfId="4" priority="163">
      <formula>$C$28="Yes"</formula>
    </cfRule>
  </conditionalFormatting>
  <conditionalFormatting sqref="B106:B108">
    <cfRule type="expression" dxfId="4" priority="164">
      <formula>$C$25="No"</formula>
    </cfRule>
  </conditionalFormatting>
  <conditionalFormatting sqref="B106:B108">
    <cfRule type="expression" dxfId="4" priority="165">
      <formula>$C$28="Yes"</formula>
    </cfRule>
  </conditionalFormatting>
  <conditionalFormatting sqref="B111">
    <cfRule type="expression" dxfId="2" priority="166">
      <formula>$C$110="No"</formula>
    </cfRule>
  </conditionalFormatting>
  <conditionalFormatting sqref="B110:B111">
    <cfRule type="expression" dxfId="4" priority="167">
      <formula>$C$28="Yes"</formula>
    </cfRule>
  </conditionalFormatting>
  <conditionalFormatting sqref="B113">
    <cfRule type="expression" dxfId="4" priority="168">
      <formula>$C$28="Yes"</formula>
    </cfRule>
  </conditionalFormatting>
  <conditionalFormatting sqref="B112">
    <cfRule type="expression" dxfId="4" priority="169">
      <formula>$C$28="Yes"</formula>
    </cfRule>
  </conditionalFormatting>
  <conditionalFormatting sqref="B114:B116">
    <cfRule type="expression" dxfId="4" priority="170">
      <formula>$C$28="Yes"</formula>
    </cfRule>
  </conditionalFormatting>
  <conditionalFormatting sqref="B123:B124">
    <cfRule type="expression" dxfId="4" priority="171">
      <formula>$C$28="Yes"</formula>
    </cfRule>
  </conditionalFormatting>
  <conditionalFormatting sqref="B117:B122">
    <cfRule type="expression" dxfId="4" priority="172">
      <formula>$C$28="Yes"</formula>
    </cfRule>
  </conditionalFormatting>
  <conditionalFormatting sqref="B137">
    <cfRule type="expression" dxfId="2" priority="173">
      <formula>$C$136="No"</formula>
    </cfRule>
  </conditionalFormatting>
  <conditionalFormatting sqref="B126">
    <cfRule type="expression" dxfId="4" priority="174">
      <formula>$C$28="Yes"</formula>
    </cfRule>
  </conditionalFormatting>
  <conditionalFormatting sqref="B127:B130">
    <cfRule type="expression" dxfId="4" priority="175">
      <formula>$C$28="Yes"</formula>
    </cfRule>
  </conditionalFormatting>
  <conditionalFormatting sqref="B131">
    <cfRule type="expression" dxfId="4" priority="176">
      <formula>$C$28="Yes"</formula>
    </cfRule>
  </conditionalFormatting>
  <conditionalFormatting sqref="B132">
    <cfRule type="expression" dxfId="4" priority="177">
      <formula>$C$28="Yes"</formula>
    </cfRule>
  </conditionalFormatting>
  <conditionalFormatting sqref="B134">
    <cfRule type="expression" dxfId="4" priority="178">
      <formula>$C$28="Yes"</formula>
    </cfRule>
  </conditionalFormatting>
  <conditionalFormatting sqref="B133">
    <cfRule type="expression" dxfId="4" priority="179">
      <formula>$C$28="Yes"</formula>
    </cfRule>
  </conditionalFormatting>
  <conditionalFormatting sqref="B155:B156">
    <cfRule type="expression" dxfId="4" priority="180">
      <formula>$C$28="Yes"</formula>
    </cfRule>
  </conditionalFormatting>
  <conditionalFormatting sqref="B162:B163">
    <cfRule type="expression" dxfId="2" priority="181">
      <formula>$C$161="No"</formula>
    </cfRule>
  </conditionalFormatting>
  <conditionalFormatting sqref="B167">
    <cfRule type="expression" dxfId="2" priority="182">
      <formula>$C$166="No"</formula>
    </cfRule>
  </conditionalFormatting>
  <conditionalFormatting sqref="B163">
    <cfRule type="expression" dxfId="2" priority="183">
      <formula>$C$162="No"</formula>
    </cfRule>
  </conditionalFormatting>
  <conditionalFormatting sqref="B158:B176">
    <cfRule type="expression" dxfId="4" priority="184">
      <formula>$C$28="Yes"</formula>
    </cfRule>
  </conditionalFormatting>
  <conditionalFormatting sqref="B183">
    <cfRule type="expression" dxfId="2" priority="185">
      <formula>$C$182="No"</formula>
    </cfRule>
  </conditionalFormatting>
  <conditionalFormatting sqref="B178:B190">
    <cfRule type="expression" dxfId="4" priority="186">
      <formula>$C$26="No"</formula>
    </cfRule>
  </conditionalFormatting>
  <conditionalFormatting sqref="B178:B190">
    <cfRule type="expression" dxfId="4" priority="187">
      <formula>$C$28="Yes"</formula>
    </cfRule>
  </conditionalFormatting>
  <conditionalFormatting sqref="B202">
    <cfRule type="expression" dxfId="2" priority="188">
      <formula>$C$201="No"</formula>
    </cfRule>
  </conditionalFormatting>
  <conditionalFormatting sqref="B202">
    <cfRule type="expression" dxfId="2" priority="189">
      <formula>$C$200="No"</formula>
    </cfRule>
  </conditionalFormatting>
  <conditionalFormatting sqref="B192:B203">
    <cfRule type="expression" dxfId="4" priority="190">
      <formula>$C$28="Yes"</formula>
    </cfRule>
  </conditionalFormatting>
  <conditionalFormatting sqref="B212">
    <cfRule type="expression" dxfId="2" priority="191">
      <formula>$C$211="No"</formula>
    </cfRule>
  </conditionalFormatting>
  <conditionalFormatting sqref="B215">
    <cfRule type="expression" dxfId="2" priority="192">
      <formula>$C$214="No"</formula>
    </cfRule>
  </conditionalFormatting>
  <conditionalFormatting sqref="B215">
    <cfRule type="expression" dxfId="4" priority="193">
      <formula>$C$28="Yes"</formula>
    </cfRule>
  </conditionalFormatting>
  <conditionalFormatting sqref="B205:B214">
    <cfRule type="expression" dxfId="4" priority="194">
      <formula>$C$28="Yes"</formula>
    </cfRule>
  </conditionalFormatting>
  <conditionalFormatting sqref="B205:B215">
    <cfRule type="expression" dxfId="4" priority="195">
      <formula>$C$23="No"</formula>
    </cfRule>
  </conditionalFormatting>
  <conditionalFormatting sqref="B217:B221">
    <cfRule type="expression" dxfId="4" priority="196">
      <formula>$C$28="Yes"</formula>
    </cfRule>
  </conditionalFormatting>
  <conditionalFormatting sqref="B223:B231">
    <cfRule type="expression" dxfId="4" priority="197">
      <formula>$C$28="Yes"</formula>
    </cfRule>
  </conditionalFormatting>
  <conditionalFormatting sqref="B240">
    <cfRule type="expression" dxfId="2" priority="198">
      <formula>$C$239="No"</formula>
    </cfRule>
  </conditionalFormatting>
  <conditionalFormatting sqref="B236:B242">
    <cfRule type="expression" dxfId="4" priority="199">
      <formula>$C$28="Yes"</formula>
    </cfRule>
  </conditionalFormatting>
  <conditionalFormatting sqref="B235">
    <cfRule type="expression" dxfId="4" priority="200">
      <formula>$C$46="Yes"</formula>
    </cfRule>
  </conditionalFormatting>
  <conditionalFormatting sqref="B232:B233">
    <cfRule type="expression" dxfId="4" priority="201">
      <formula>$C$28="Yes"</formula>
    </cfRule>
  </conditionalFormatting>
  <conditionalFormatting sqref="B234">
    <cfRule type="expression" dxfId="4" priority="202">
      <formula>$C$46="Yes"</formula>
    </cfRule>
  </conditionalFormatting>
  <conditionalFormatting sqref="B244:B245">
    <cfRule type="expression" dxfId="4" priority="203">
      <formula>$C$28="Yes"</formula>
    </cfRule>
  </conditionalFormatting>
  <conditionalFormatting sqref="B247:B251">
    <cfRule type="expression" dxfId="4" priority="204">
      <formula>$C$28="Yes"</formula>
    </cfRule>
  </conditionalFormatting>
  <conditionalFormatting sqref="B253:B256">
    <cfRule type="expression" dxfId="4" priority="205">
      <formula>$C$28="Yes"</formula>
    </cfRule>
  </conditionalFormatting>
  <conditionalFormatting sqref="B259">
    <cfRule type="expression" dxfId="2" priority="206">
      <formula>$C$258="No"</formula>
    </cfRule>
  </conditionalFormatting>
  <conditionalFormatting sqref="B262">
    <cfRule type="expression" dxfId="2" priority="207">
      <formula>$C$261="No"</formula>
    </cfRule>
  </conditionalFormatting>
  <conditionalFormatting sqref="B259">
    <cfRule type="expression" dxfId="2" priority="208">
      <formula>$C$256="No"</formula>
    </cfRule>
  </conditionalFormatting>
  <conditionalFormatting sqref="B258:B266">
    <cfRule type="expression" dxfId="4" priority="209">
      <formula>$C$28="Yes"</formula>
    </cfRule>
  </conditionalFormatting>
  <conditionalFormatting sqref="B292">
    <cfRule type="expression" dxfId="2" priority="210">
      <formula>$C$291="No"</formula>
    </cfRule>
  </conditionalFormatting>
  <conditionalFormatting sqref="B275:B276">
    <cfRule type="expression" dxfId="2" priority="211">
      <formula>$C$274="No"</formula>
    </cfRule>
  </conditionalFormatting>
  <conditionalFormatting sqref="B276">
    <cfRule type="expression" dxfId="2" priority="212">
      <formula>$C$275="No"</formula>
    </cfRule>
  </conditionalFormatting>
  <conditionalFormatting sqref="B268:B298">
    <cfRule type="expression" dxfId="4" priority="213">
      <formula>$C$22="No"</formula>
    </cfRule>
  </conditionalFormatting>
  <conditionalFormatting sqref="B268:B298">
    <cfRule type="expression" dxfId="4" priority="214">
      <formula>$C$28="Yes"</formula>
    </cfRule>
  </conditionalFormatting>
  <conditionalFormatting sqref="B295">
    <cfRule type="expression" dxfId="2" priority="215">
      <formula>$C$294="No"</formula>
    </cfRule>
  </conditionalFormatting>
  <conditionalFormatting sqref="B300:B311">
    <cfRule type="expression" dxfId="4" priority="216">
      <formula>$C$27="No"</formula>
    </cfRule>
  </conditionalFormatting>
  <conditionalFormatting sqref="B300:B311">
    <cfRule type="expression" dxfId="4" priority="217">
      <formula>$C$28="Yes"</formula>
    </cfRule>
  </conditionalFormatting>
  <conditionalFormatting sqref="I242">
    <cfRule type="expression" dxfId="2" priority="218">
      <formula>$C$237="No"</formula>
    </cfRule>
  </conditionalFormatting>
  <printOptions/>
  <pageMargins bottom="1.0" footer="0.0" header="0.0" left="0.75" right="0.75" top="1.0"/>
  <pageSetup orientation="landscape"/>
  <headerFooter>
    <oddFooter>&amp;L000000	&amp;P</oddFooter>
  </headerFooter>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00B050"/>
    <pageSetUpPr/>
  </sheetPr>
  <sheetViews>
    <sheetView workbookViewId="0"/>
  </sheetViews>
  <sheetFormatPr customHeight="1" defaultColWidth="11.22" defaultRowHeight="15.0"/>
  <cols>
    <col customWidth="1" min="1" max="1" width="20.11"/>
    <col customWidth="1" min="2" max="2" width="14.67"/>
    <col customWidth="1" min="3" max="3" width="26.0"/>
    <col customWidth="1" min="4" max="4" width="11.44"/>
    <col customWidth="1" min="5" max="5" width="14.78"/>
    <col customWidth="1" min="6" max="6" width="16.67"/>
    <col customWidth="1" min="7" max="7" width="11.22"/>
    <col customWidth="1" min="8" max="8" width="21.78"/>
    <col customWidth="1" min="9" max="26" width="8.67"/>
  </cols>
  <sheetData>
    <row r="1" ht="36.0" customHeight="1">
      <c r="A1" s="113" t="s">
        <v>1130</v>
      </c>
      <c r="B1" s="2"/>
      <c r="C1" s="2"/>
      <c r="D1" s="2"/>
      <c r="E1" s="2"/>
      <c r="F1" s="2"/>
      <c r="G1" s="114"/>
      <c r="H1" s="115" t="str">
        <f>HECVAT!E1</f>
        <v>Version 2.0</v>
      </c>
      <c r="I1" s="32"/>
      <c r="J1" s="32"/>
      <c r="K1" s="32"/>
      <c r="L1" s="32"/>
      <c r="M1" s="32"/>
      <c r="N1" s="32"/>
      <c r="O1" s="32"/>
      <c r="P1" s="32"/>
      <c r="Q1" s="32"/>
      <c r="R1" s="32"/>
      <c r="S1" s="32"/>
      <c r="T1" s="32"/>
      <c r="U1" s="32"/>
      <c r="V1" s="32"/>
      <c r="W1" s="32"/>
      <c r="X1" s="32"/>
      <c r="Y1" s="32"/>
      <c r="Z1" s="32"/>
    </row>
    <row r="2" ht="25.5" customHeight="1">
      <c r="A2" s="8" t="s">
        <v>3</v>
      </c>
      <c r="B2" s="2"/>
      <c r="C2" s="2"/>
      <c r="D2" s="2"/>
      <c r="E2" s="2"/>
      <c r="F2" s="2"/>
      <c r="G2" s="2"/>
      <c r="H2" s="3"/>
      <c r="I2" s="32"/>
      <c r="J2" s="32"/>
      <c r="K2" s="32"/>
      <c r="L2" s="32"/>
      <c r="M2" s="32"/>
      <c r="N2" s="32"/>
      <c r="O2" s="32"/>
      <c r="P2" s="32"/>
      <c r="Q2" s="32"/>
      <c r="R2" s="32"/>
      <c r="S2" s="32"/>
      <c r="T2" s="32"/>
      <c r="U2" s="32"/>
      <c r="V2" s="32"/>
      <c r="W2" s="32"/>
      <c r="X2" s="32"/>
      <c r="Y2" s="32"/>
      <c r="Z2" s="32"/>
    </row>
    <row r="3" ht="48.0" customHeight="1">
      <c r="A3" s="116" t="s">
        <v>25</v>
      </c>
      <c r="B3" s="117" t="str">
        <f>HECVAT!C7</f>
        <v>Ivy.ai, Inc.</v>
      </c>
      <c r="C3" s="3"/>
      <c r="D3" s="118"/>
      <c r="E3" s="116" t="s">
        <v>31</v>
      </c>
      <c r="F3" s="119" t="str">
        <f>HECVAT!C8</f>
        <v>Ivy</v>
      </c>
      <c r="G3" s="2"/>
      <c r="H3" s="3"/>
      <c r="I3" s="42"/>
      <c r="J3" s="42"/>
      <c r="K3" s="42"/>
      <c r="L3" s="42"/>
      <c r="M3" s="42"/>
      <c r="N3" s="42"/>
      <c r="O3" s="42"/>
      <c r="P3" s="42"/>
      <c r="Q3" s="42"/>
      <c r="R3" s="42"/>
      <c r="S3" s="42"/>
      <c r="T3" s="42"/>
      <c r="U3" s="42"/>
      <c r="V3" s="42"/>
      <c r="W3" s="42"/>
      <c r="X3" s="42"/>
      <c r="Y3" s="42"/>
      <c r="Z3" s="42"/>
    </row>
    <row r="4" ht="48.0" customHeight="1">
      <c r="A4" s="116" t="s">
        <v>51</v>
      </c>
      <c r="B4" s="22" t="str">
        <f>HECVAT!C11</f>
        <v>Michal Oglodek</v>
      </c>
      <c r="C4" s="3"/>
      <c r="D4" s="120"/>
      <c r="E4" s="116" t="s">
        <v>36</v>
      </c>
      <c r="F4" s="119" t="str">
        <f>HECVAT!C9</f>
        <v>Artificially Intelligent Chatbot</v>
      </c>
      <c r="G4" s="2"/>
      <c r="H4" s="3"/>
      <c r="I4" s="42"/>
      <c r="J4" s="42"/>
      <c r="K4" s="42"/>
      <c r="L4" s="42"/>
      <c r="M4" s="42"/>
      <c r="N4" s="42"/>
      <c r="O4" s="42"/>
      <c r="P4" s="42"/>
      <c r="Q4" s="42"/>
      <c r="R4" s="42"/>
      <c r="S4" s="42"/>
      <c r="T4" s="42"/>
      <c r="U4" s="42"/>
      <c r="V4" s="42"/>
      <c r="W4" s="42"/>
      <c r="X4" s="42"/>
      <c r="Y4" s="42"/>
      <c r="Z4" s="42"/>
    </row>
    <row r="5" ht="48.0" customHeight="1">
      <c r="A5" s="116" t="s">
        <v>54</v>
      </c>
      <c r="B5" s="22" t="str">
        <f>HECVAT!C12</f>
        <v>CTO</v>
      </c>
      <c r="C5" s="3"/>
      <c r="D5" s="121"/>
      <c r="E5" s="116" t="s">
        <v>1138</v>
      </c>
      <c r="F5" s="119" t="s">
        <v>1139</v>
      </c>
      <c r="G5" s="2"/>
      <c r="H5" s="3"/>
      <c r="I5" s="42"/>
      <c r="J5" s="42"/>
      <c r="K5" s="42"/>
      <c r="L5" s="42"/>
      <c r="M5" s="42"/>
      <c r="N5" s="42"/>
      <c r="O5" s="42"/>
      <c r="P5" s="42"/>
      <c r="Q5" s="42"/>
      <c r="R5" s="42"/>
      <c r="S5" s="42"/>
      <c r="T5" s="42"/>
      <c r="U5" s="42"/>
      <c r="V5" s="42"/>
      <c r="W5" s="42"/>
      <c r="X5" s="42"/>
      <c r="Y5" s="42"/>
      <c r="Z5" s="42"/>
    </row>
    <row r="6" ht="48.0" customHeight="1">
      <c r="A6" s="116" t="s">
        <v>1140</v>
      </c>
      <c r="B6" s="22" t="str">
        <f>HECVAT!C13</f>
        <v>michal@ivy.ai</v>
      </c>
      <c r="C6" s="3"/>
      <c r="D6" s="122"/>
      <c r="E6" s="116" t="s">
        <v>1142</v>
      </c>
      <c r="F6" s="123" t="str">
        <f>HECVAT!C3</f>
        <v>mm/dd/yyyy</v>
      </c>
      <c r="G6" s="2"/>
      <c r="H6" s="3"/>
      <c r="I6" s="42"/>
      <c r="J6" s="42"/>
      <c r="K6" s="42"/>
      <c r="L6" s="42"/>
      <c r="M6" s="42"/>
      <c r="N6" s="42"/>
      <c r="O6" s="42"/>
      <c r="P6" s="42"/>
      <c r="Q6" s="42"/>
      <c r="R6" s="42"/>
      <c r="S6" s="42"/>
      <c r="T6" s="42"/>
      <c r="U6" s="42"/>
      <c r="V6" s="42"/>
      <c r="W6" s="42"/>
      <c r="X6" s="42"/>
      <c r="Y6" s="42"/>
      <c r="Z6" s="42"/>
    </row>
    <row r="7" ht="48.0" customHeight="1">
      <c r="A7" s="124" t="s">
        <v>1144</v>
      </c>
      <c r="B7" s="116"/>
      <c r="C7" s="51" t="str">
        <f>IF(B7="","&lt;- Select your security framework.","")</f>
        <v>&lt;- Select your security framework.</v>
      </c>
      <c r="D7" s="125"/>
      <c r="E7" s="126"/>
      <c r="F7" s="126"/>
      <c r="G7" s="126"/>
      <c r="H7" s="127"/>
      <c r="I7" s="42"/>
      <c r="J7" s="42"/>
      <c r="K7" s="42"/>
      <c r="L7" s="42"/>
      <c r="M7" s="42"/>
      <c r="N7" s="42"/>
      <c r="O7" s="42"/>
      <c r="P7" s="42"/>
      <c r="Q7" s="42"/>
      <c r="R7" s="42"/>
      <c r="S7" s="42"/>
      <c r="T7" s="42"/>
      <c r="U7" s="42"/>
      <c r="V7" s="42"/>
      <c r="W7" s="42"/>
      <c r="X7" s="42"/>
      <c r="Y7" s="42"/>
      <c r="Z7" s="42"/>
    </row>
    <row r="8" ht="24.0" customHeight="1">
      <c r="A8" s="128"/>
      <c r="D8" s="129"/>
      <c r="E8" s="129"/>
      <c r="F8" s="129"/>
      <c r="G8" s="129"/>
      <c r="H8" s="129"/>
      <c r="I8" s="129"/>
      <c r="J8" s="129"/>
      <c r="K8" s="129"/>
      <c r="L8" s="129"/>
      <c r="M8" s="129"/>
      <c r="N8" s="129"/>
      <c r="O8" s="129"/>
      <c r="P8" s="129"/>
      <c r="Q8" s="129"/>
      <c r="R8" s="129"/>
      <c r="S8" s="129"/>
      <c r="T8" s="129"/>
      <c r="U8" s="129"/>
      <c r="V8" s="129"/>
      <c r="W8" s="129"/>
      <c r="X8" s="129"/>
      <c r="Y8" s="129"/>
      <c r="Z8" s="129"/>
    </row>
    <row r="9" ht="24.0" customHeight="1">
      <c r="A9" s="32"/>
      <c r="B9" s="32"/>
      <c r="C9" s="130" t="s">
        <v>1150</v>
      </c>
      <c r="D9" s="130" t="s">
        <v>1152</v>
      </c>
      <c r="E9" s="130" t="s">
        <v>1153</v>
      </c>
      <c r="F9" s="130" t="s">
        <v>1154</v>
      </c>
      <c r="G9" s="32"/>
      <c r="H9" s="32"/>
      <c r="I9" s="32"/>
      <c r="J9" s="32"/>
      <c r="K9" s="32"/>
      <c r="L9" s="32"/>
      <c r="M9" s="32"/>
      <c r="N9" s="32"/>
      <c r="O9" s="32"/>
      <c r="P9" s="32"/>
      <c r="Q9" s="32"/>
      <c r="R9" s="32"/>
      <c r="S9" s="32"/>
      <c r="T9" s="32"/>
      <c r="U9" s="32"/>
      <c r="V9" s="32"/>
      <c r="W9" s="32"/>
      <c r="X9" s="32"/>
      <c r="Y9" s="32"/>
      <c r="Z9" s="32"/>
    </row>
    <row r="10" ht="15.75" customHeight="1">
      <c r="A10" s="32"/>
      <c r="B10" s="32"/>
      <c r="C10" s="131" t="str">
        <f>Questions!T2</f>
        <v>Documentation</v>
      </c>
      <c r="D10" s="132">
        <f>Questions!X2</f>
        <v>105</v>
      </c>
      <c r="E10" s="132">
        <f>Questions!W2</f>
        <v>25</v>
      </c>
      <c r="F10" s="133">
        <f>Questions!Y2</f>
        <v>0.2380952381</v>
      </c>
      <c r="G10" s="32"/>
      <c r="H10" s="32"/>
      <c r="I10" s="32"/>
      <c r="J10" s="32"/>
      <c r="K10" s="32"/>
      <c r="L10" s="32"/>
      <c r="M10" s="32"/>
      <c r="N10" s="32"/>
      <c r="O10" s="32"/>
      <c r="P10" s="32"/>
      <c r="Q10" s="32"/>
      <c r="R10" s="32"/>
      <c r="S10" s="32"/>
      <c r="T10" s="32"/>
      <c r="U10" s="32"/>
      <c r="V10" s="32"/>
      <c r="W10" s="32"/>
      <c r="X10" s="32"/>
      <c r="Y10" s="32"/>
      <c r="Z10" s="32"/>
    </row>
    <row r="11" ht="15.75" customHeight="1">
      <c r="A11" s="32"/>
      <c r="B11" s="32"/>
      <c r="C11" s="131" t="str">
        <f>Questions!T3</f>
        <v>Application Security</v>
      </c>
      <c r="D11" s="132">
        <f>Questions!X3</f>
        <v>390</v>
      </c>
      <c r="E11" s="132">
        <f>Questions!W3</f>
        <v>195</v>
      </c>
      <c r="F11" s="133">
        <f>Questions!Y3</f>
        <v>0.5</v>
      </c>
      <c r="G11" s="32"/>
      <c r="H11" s="32"/>
      <c r="I11" s="32"/>
      <c r="J11" s="32"/>
      <c r="K11" s="32"/>
      <c r="L11" s="32"/>
      <c r="M11" s="32"/>
      <c r="N11" s="32"/>
      <c r="O11" s="32"/>
      <c r="P11" s="32"/>
      <c r="Q11" s="32"/>
      <c r="R11" s="32"/>
      <c r="S11" s="32"/>
      <c r="T11" s="32"/>
      <c r="U11" s="32"/>
      <c r="V11" s="32"/>
      <c r="W11" s="32"/>
      <c r="X11" s="32"/>
      <c r="Y11" s="32"/>
      <c r="Z11" s="32"/>
    </row>
    <row r="12" ht="15.75" customHeight="1">
      <c r="A12" s="32"/>
      <c r="B12" s="32"/>
      <c r="C12" s="131" t="str">
        <f>Questions!T4</f>
        <v>Authentication, Authorization, and Accounting</v>
      </c>
      <c r="D12" s="132">
        <f>Questions!X4</f>
        <v>365</v>
      </c>
      <c r="E12" s="132">
        <f>Questions!W4</f>
        <v>240</v>
      </c>
      <c r="F12" s="133">
        <f>Questions!Y4</f>
        <v>0.6575342466</v>
      </c>
      <c r="G12" s="32"/>
      <c r="H12" s="32"/>
      <c r="I12" s="32"/>
      <c r="J12" s="32"/>
      <c r="K12" s="32"/>
      <c r="L12" s="32"/>
      <c r="M12" s="32"/>
      <c r="N12" s="32"/>
      <c r="O12" s="32"/>
      <c r="P12" s="32"/>
      <c r="Q12" s="32"/>
      <c r="R12" s="32"/>
      <c r="S12" s="32"/>
      <c r="T12" s="32"/>
      <c r="U12" s="32"/>
      <c r="V12" s="32"/>
      <c r="W12" s="32"/>
      <c r="X12" s="32"/>
      <c r="Y12" s="32"/>
      <c r="Z12" s="32"/>
    </row>
    <row r="13" ht="15.75" customHeight="1">
      <c r="A13" s="32"/>
      <c r="B13" s="32"/>
      <c r="C13" s="131" t="str">
        <f>Questions!T5</f>
        <v>Change Management</v>
      </c>
      <c r="D13" s="132">
        <f>Questions!X5</f>
        <v>275</v>
      </c>
      <c r="E13" s="132">
        <f>Questions!W5</f>
        <v>170</v>
      </c>
      <c r="F13" s="133">
        <f>Questions!Y5</f>
        <v>0.6181818182</v>
      </c>
      <c r="G13" s="32"/>
      <c r="H13" s="32"/>
      <c r="I13" s="32"/>
      <c r="J13" s="32"/>
      <c r="K13" s="32"/>
      <c r="L13" s="32"/>
      <c r="M13" s="32"/>
      <c r="N13" s="32"/>
      <c r="O13" s="32"/>
      <c r="P13" s="32"/>
      <c r="Q13" s="32"/>
      <c r="R13" s="32"/>
      <c r="S13" s="32"/>
      <c r="T13" s="32"/>
      <c r="U13" s="32"/>
      <c r="V13" s="32"/>
      <c r="W13" s="32"/>
      <c r="X13" s="32"/>
      <c r="Y13" s="32"/>
      <c r="Z13" s="32"/>
    </row>
    <row r="14" ht="15.75" customHeight="1">
      <c r="A14" s="32"/>
      <c r="B14" s="32"/>
      <c r="C14" s="131" t="str">
        <f>Questions!T6</f>
        <v>Company</v>
      </c>
      <c r="D14" s="132">
        <f>Questions!X6</f>
        <v>120</v>
      </c>
      <c r="E14" s="132">
        <f>Questions!W6</f>
        <v>65</v>
      </c>
      <c r="F14" s="133">
        <f>Questions!Y6</f>
        <v>0.5416666667</v>
      </c>
      <c r="G14" s="32"/>
      <c r="H14" s="32"/>
      <c r="I14" s="32"/>
      <c r="J14" s="32"/>
      <c r="K14" s="32"/>
      <c r="L14" s="32"/>
      <c r="M14" s="32"/>
      <c r="N14" s="32"/>
      <c r="O14" s="32"/>
      <c r="P14" s="32"/>
      <c r="Q14" s="32"/>
      <c r="R14" s="32"/>
      <c r="S14" s="32"/>
      <c r="T14" s="32"/>
      <c r="U14" s="32"/>
      <c r="V14" s="32"/>
      <c r="W14" s="32"/>
      <c r="X14" s="32"/>
      <c r="Y14" s="32"/>
      <c r="Z14" s="32"/>
    </row>
    <row r="15" ht="15.75" customHeight="1">
      <c r="A15" s="32"/>
      <c r="B15" s="32"/>
      <c r="C15" s="131" t="str">
        <f>Questions!T7</f>
        <v>Data</v>
      </c>
      <c r="D15" s="132">
        <f>Questions!X7</f>
        <v>565</v>
      </c>
      <c r="E15" s="132">
        <f>Questions!W7</f>
        <v>410</v>
      </c>
      <c r="F15" s="133">
        <f>Questions!Y7</f>
        <v>0.7256637168</v>
      </c>
      <c r="G15" s="32"/>
      <c r="H15" s="32"/>
      <c r="I15" s="32"/>
      <c r="J15" s="32"/>
      <c r="K15" s="32"/>
      <c r="L15" s="32"/>
      <c r="M15" s="32"/>
      <c r="N15" s="32"/>
      <c r="O15" s="32"/>
      <c r="P15" s="32"/>
      <c r="Q15" s="32"/>
      <c r="R15" s="32"/>
      <c r="S15" s="32"/>
      <c r="T15" s="32"/>
      <c r="U15" s="32"/>
      <c r="V15" s="32"/>
      <c r="W15" s="32"/>
      <c r="X15" s="32"/>
      <c r="Y15" s="32"/>
      <c r="Z15" s="32"/>
    </row>
    <row r="16" ht="15.75" customHeight="1">
      <c r="A16" s="32"/>
      <c r="B16" s="32"/>
      <c r="C16" s="131" t="str">
        <f>Questions!T8</f>
        <v>Database</v>
      </c>
      <c r="D16" s="132">
        <f>Questions!X8</f>
        <v>50</v>
      </c>
      <c r="E16" s="132">
        <f>Questions!W8</f>
        <v>50</v>
      </c>
      <c r="F16" s="133">
        <f>Questions!Y8</f>
        <v>1</v>
      </c>
      <c r="G16" s="32"/>
      <c r="H16" s="32"/>
      <c r="I16" s="32"/>
      <c r="J16" s="32"/>
      <c r="K16" s="32"/>
      <c r="L16" s="32"/>
      <c r="M16" s="32"/>
      <c r="N16" s="32"/>
      <c r="O16" s="32"/>
      <c r="P16" s="32"/>
      <c r="Q16" s="32"/>
      <c r="R16" s="32"/>
      <c r="S16" s="32"/>
      <c r="T16" s="32"/>
      <c r="U16" s="32"/>
      <c r="V16" s="32"/>
      <c r="W16" s="32"/>
      <c r="X16" s="32"/>
      <c r="Y16" s="32"/>
      <c r="Z16" s="32"/>
    </row>
    <row r="17" ht="15.75" customHeight="1">
      <c r="A17" s="32"/>
      <c r="B17" s="32"/>
      <c r="C17" s="131" t="str">
        <f>Questions!T9</f>
        <v>Datacenter</v>
      </c>
      <c r="D17" s="132">
        <f>Questions!X9</f>
        <v>350</v>
      </c>
      <c r="E17" s="132">
        <f>Questions!W9</f>
        <v>175</v>
      </c>
      <c r="F17" s="133">
        <f>Questions!Y9</f>
        <v>0.5</v>
      </c>
      <c r="G17" s="32"/>
      <c r="H17" s="32"/>
      <c r="I17" s="32"/>
      <c r="J17" s="32"/>
      <c r="K17" s="32"/>
      <c r="L17" s="32"/>
      <c r="M17" s="32"/>
      <c r="N17" s="32"/>
      <c r="O17" s="32"/>
      <c r="P17" s="32"/>
      <c r="Q17" s="32"/>
      <c r="R17" s="32"/>
      <c r="S17" s="32"/>
      <c r="T17" s="32"/>
      <c r="U17" s="32"/>
      <c r="V17" s="32"/>
      <c r="W17" s="32"/>
      <c r="X17" s="32"/>
      <c r="Y17" s="32"/>
      <c r="Z17" s="32"/>
    </row>
    <row r="18" ht="15.75" customHeight="1">
      <c r="A18" s="32"/>
      <c r="B18" s="32"/>
      <c r="C18" s="131" t="str">
        <f>Questions!T10</f>
        <v>Firewalls, IDS, IPS, and Networking</v>
      </c>
      <c r="D18" s="132">
        <f>Questions!X10</f>
        <v>265</v>
      </c>
      <c r="E18" s="132">
        <f>Questions!W10</f>
        <v>135</v>
      </c>
      <c r="F18" s="133">
        <f>Questions!Y10</f>
        <v>0.5094339623</v>
      </c>
      <c r="G18" s="32"/>
      <c r="H18" s="32"/>
      <c r="I18" s="32"/>
      <c r="J18" s="32"/>
      <c r="K18" s="32"/>
      <c r="L18" s="32"/>
      <c r="M18" s="32"/>
      <c r="N18" s="32"/>
      <c r="O18" s="32"/>
      <c r="P18" s="32"/>
      <c r="Q18" s="32"/>
      <c r="R18" s="32"/>
      <c r="S18" s="32"/>
      <c r="T18" s="32"/>
      <c r="U18" s="32"/>
      <c r="V18" s="32"/>
      <c r="W18" s="32"/>
      <c r="X18" s="32"/>
      <c r="Y18" s="32"/>
      <c r="Z18" s="32"/>
    </row>
    <row r="19" ht="15.75" customHeight="1">
      <c r="A19" s="32"/>
      <c r="B19" s="32"/>
      <c r="C19" s="131" t="str">
        <f>Questions!T11</f>
        <v>Physical Security</v>
      </c>
      <c r="D19" s="132">
        <f>Questions!X11</f>
        <v>100</v>
      </c>
      <c r="E19" s="132">
        <f>Questions!W11</f>
        <v>100</v>
      </c>
      <c r="F19" s="133">
        <f>Questions!Y11</f>
        <v>1</v>
      </c>
      <c r="G19" s="32"/>
      <c r="H19" s="32"/>
      <c r="I19" s="32"/>
      <c r="J19" s="32"/>
      <c r="K19" s="32"/>
      <c r="L19" s="32"/>
      <c r="M19" s="32"/>
      <c r="N19" s="32"/>
      <c r="O19" s="32"/>
      <c r="P19" s="32"/>
      <c r="Q19" s="32"/>
      <c r="R19" s="32"/>
      <c r="S19" s="32"/>
      <c r="T19" s="32"/>
      <c r="U19" s="32"/>
      <c r="V19" s="32"/>
      <c r="W19" s="32"/>
      <c r="X19" s="32"/>
      <c r="Y19" s="32"/>
      <c r="Z19" s="32"/>
    </row>
    <row r="20" ht="15.75" customHeight="1">
      <c r="A20" s="32"/>
      <c r="B20" s="32"/>
      <c r="C20" s="131" t="str">
        <f>Questions!T12</f>
        <v>Policies, Procedures, and Processes</v>
      </c>
      <c r="D20" s="132">
        <f>Questions!X12</f>
        <v>420</v>
      </c>
      <c r="E20" s="132">
        <f>Questions!W12</f>
        <v>375</v>
      </c>
      <c r="F20" s="133">
        <f>Questions!Y12</f>
        <v>0.8928571429</v>
      </c>
      <c r="G20" s="32"/>
      <c r="H20" s="32"/>
      <c r="I20" s="32"/>
      <c r="J20" s="32"/>
      <c r="K20" s="32"/>
      <c r="L20" s="32"/>
      <c r="M20" s="32"/>
      <c r="N20" s="32"/>
      <c r="O20" s="32"/>
      <c r="P20" s="32"/>
      <c r="Q20" s="32"/>
      <c r="R20" s="32"/>
      <c r="S20" s="32"/>
      <c r="T20" s="32"/>
      <c r="U20" s="32"/>
      <c r="V20" s="32"/>
      <c r="W20" s="32"/>
      <c r="X20" s="32"/>
      <c r="Y20" s="32"/>
      <c r="Z20" s="32"/>
    </row>
    <row r="21" ht="15.75" customHeight="1">
      <c r="A21" s="32"/>
      <c r="B21" s="32"/>
      <c r="C21" s="131" t="str">
        <f>Questions!T13</f>
        <v>Systems Management &amp; Configuration</v>
      </c>
      <c r="D21" s="132">
        <f>Questions!X13</f>
        <v>70</v>
      </c>
      <c r="E21" s="132">
        <f>Questions!W13</f>
        <v>45</v>
      </c>
      <c r="F21" s="133">
        <f>Questions!Y13</f>
        <v>0.6428571429</v>
      </c>
      <c r="G21" s="32"/>
      <c r="H21" s="32"/>
      <c r="I21" s="32"/>
      <c r="J21" s="32"/>
      <c r="K21" s="32"/>
      <c r="L21" s="32"/>
      <c r="M21" s="32"/>
      <c r="N21" s="32"/>
      <c r="O21" s="32"/>
      <c r="P21" s="32"/>
      <c r="Q21" s="32"/>
      <c r="R21" s="32"/>
      <c r="S21" s="32"/>
      <c r="T21" s="32"/>
      <c r="U21" s="32"/>
      <c r="V21" s="32"/>
      <c r="W21" s="32"/>
      <c r="X21" s="32"/>
      <c r="Y21" s="32"/>
      <c r="Z21" s="32"/>
    </row>
    <row r="22" ht="15.75" customHeight="1">
      <c r="A22" s="32"/>
      <c r="B22" s="32"/>
      <c r="C22" s="131" t="str">
        <f>Questions!T14</f>
        <v>Vulnerability Scanning</v>
      </c>
      <c r="D22" s="132">
        <f>Questions!X14</f>
        <v>195</v>
      </c>
      <c r="E22" s="132">
        <f>Questions!W14</f>
        <v>110</v>
      </c>
      <c r="F22" s="133">
        <f>Questions!Y14</f>
        <v>0.5641025641</v>
      </c>
      <c r="G22" s="32"/>
      <c r="H22" s="32"/>
      <c r="I22" s="32"/>
      <c r="J22" s="32"/>
      <c r="K22" s="32"/>
      <c r="L22" s="32"/>
      <c r="M22" s="32"/>
      <c r="N22" s="32"/>
      <c r="O22" s="32"/>
      <c r="P22" s="32"/>
      <c r="Q22" s="32"/>
      <c r="R22" s="32"/>
      <c r="S22" s="32"/>
      <c r="T22" s="32"/>
      <c r="U22" s="32"/>
      <c r="V22" s="32"/>
      <c r="W22" s="32"/>
      <c r="X22" s="32"/>
      <c r="Y22" s="32"/>
      <c r="Z22" s="32"/>
    </row>
    <row r="23" ht="15.75" customHeight="1">
      <c r="A23" s="32"/>
      <c r="B23" s="32"/>
      <c r="C23" s="131" t="str">
        <f>Questions!T15</f>
        <v/>
      </c>
      <c r="D23" s="132" t="str">
        <f>Questions!X15</f>
        <v/>
      </c>
      <c r="E23" s="132" t="str">
        <f>Questions!W15</f>
        <v/>
      </c>
      <c r="F23" s="133" t="str">
        <f>Questions!Y15</f>
        <v/>
      </c>
      <c r="G23" s="32"/>
      <c r="H23" s="32"/>
      <c r="I23" s="32"/>
      <c r="J23" s="32"/>
      <c r="K23" s="32"/>
      <c r="L23" s="32"/>
      <c r="M23" s="32"/>
      <c r="N23" s="32"/>
      <c r="O23" s="32"/>
      <c r="P23" s="32"/>
      <c r="Q23" s="32"/>
      <c r="R23" s="32"/>
      <c r="S23" s="32"/>
      <c r="T23" s="32"/>
      <c r="U23" s="32"/>
      <c r="V23" s="32"/>
      <c r="W23" s="32"/>
      <c r="X23" s="32"/>
      <c r="Y23" s="32"/>
      <c r="Z23" s="32"/>
    </row>
    <row r="24" ht="15.75" customHeight="1">
      <c r="A24" s="32"/>
      <c r="B24" s="32"/>
      <c r="C24" s="131" t="str">
        <f>Questions!T16</f>
        <v/>
      </c>
      <c r="D24" s="132" t="str">
        <f>Questions!X16</f>
        <v/>
      </c>
      <c r="E24" s="132" t="str">
        <f>Questions!W16</f>
        <v/>
      </c>
      <c r="F24" s="133" t="str">
        <f>Questions!Y16</f>
        <v/>
      </c>
      <c r="G24" s="32"/>
      <c r="H24" s="32"/>
      <c r="I24" s="32"/>
      <c r="J24" s="32"/>
      <c r="K24" s="32"/>
      <c r="L24" s="32"/>
      <c r="M24" s="32"/>
      <c r="N24" s="32"/>
      <c r="O24" s="32"/>
      <c r="P24" s="32"/>
      <c r="Q24" s="32"/>
      <c r="R24" s="32"/>
      <c r="S24" s="32"/>
      <c r="T24" s="32"/>
      <c r="U24" s="32"/>
      <c r="V24" s="32"/>
      <c r="W24" s="32"/>
      <c r="X24" s="32"/>
      <c r="Y24" s="32"/>
      <c r="Z24" s="32"/>
    </row>
    <row r="25" ht="15.75" customHeight="1">
      <c r="A25" s="32"/>
      <c r="B25" s="32"/>
      <c r="C25" s="131" t="str">
        <f>Questions!T17</f>
        <v/>
      </c>
      <c r="D25" s="132" t="str">
        <f>Questions!X17</f>
        <v/>
      </c>
      <c r="E25" s="132" t="str">
        <f>Questions!W17</f>
        <v/>
      </c>
      <c r="F25" s="133" t="str">
        <f>Questions!Y17</f>
        <v/>
      </c>
      <c r="G25" s="32"/>
      <c r="H25" s="32"/>
      <c r="I25" s="32"/>
      <c r="J25" s="32"/>
      <c r="K25" s="32"/>
      <c r="L25" s="32"/>
      <c r="M25" s="32"/>
      <c r="N25" s="32"/>
      <c r="O25" s="32"/>
      <c r="P25" s="32"/>
      <c r="Q25" s="32"/>
      <c r="R25" s="32"/>
      <c r="S25" s="32"/>
      <c r="T25" s="32"/>
      <c r="U25" s="32"/>
      <c r="V25" s="32"/>
      <c r="W25" s="32"/>
      <c r="X25" s="32"/>
      <c r="Y25" s="32"/>
      <c r="Z25" s="32"/>
    </row>
    <row r="26" ht="15.75" customHeight="1">
      <c r="A26" s="32"/>
      <c r="B26" s="32"/>
      <c r="C26" s="131" t="str">
        <f>Questions!T18</f>
        <v>Business Continuity Plan</v>
      </c>
      <c r="D26" s="132">
        <f>Questions!X18</f>
        <v>250</v>
      </c>
      <c r="E26" s="132">
        <f>Questions!W18</f>
        <v>165</v>
      </c>
      <c r="F26" s="133">
        <f>Questions!Y18</f>
        <v>0.66</v>
      </c>
      <c r="G26" s="32"/>
      <c r="H26" s="32"/>
      <c r="I26" s="32"/>
      <c r="J26" s="32"/>
      <c r="K26" s="32"/>
      <c r="L26" s="32"/>
      <c r="M26" s="32"/>
      <c r="N26" s="32"/>
      <c r="O26" s="32"/>
      <c r="P26" s="32"/>
      <c r="Q26" s="32"/>
      <c r="R26" s="32"/>
      <c r="S26" s="32"/>
      <c r="T26" s="32"/>
      <c r="U26" s="32"/>
      <c r="V26" s="32"/>
      <c r="W26" s="32"/>
      <c r="X26" s="32"/>
      <c r="Y26" s="32"/>
      <c r="Z26" s="32"/>
    </row>
    <row r="27" ht="15.75" customHeight="1">
      <c r="A27" s="32"/>
      <c r="B27" s="32"/>
      <c r="C27" s="131" t="str">
        <f>Questions!T19</f>
        <v>Disaster Recovery Plan</v>
      </c>
      <c r="D27" s="132">
        <f>Questions!X19</f>
        <v>270</v>
      </c>
      <c r="E27" s="132" t="str">
        <f>Questions!W19</f>
        <v>#N/A</v>
      </c>
      <c r="F27" s="133" t="str">
        <f>Questions!Y19</f>
        <v>#N/A</v>
      </c>
      <c r="G27" s="32"/>
      <c r="H27" s="32"/>
      <c r="I27" s="32"/>
      <c r="J27" s="32"/>
      <c r="K27" s="32"/>
      <c r="L27" s="32"/>
      <c r="M27" s="32"/>
      <c r="N27" s="32"/>
      <c r="O27" s="32"/>
      <c r="P27" s="32"/>
      <c r="Q27" s="32"/>
      <c r="R27" s="32"/>
      <c r="S27" s="32"/>
      <c r="T27" s="32"/>
      <c r="U27" s="32"/>
      <c r="V27" s="32"/>
      <c r="W27" s="32"/>
      <c r="X27" s="32"/>
      <c r="Y27" s="32"/>
      <c r="Z27" s="32"/>
    </row>
    <row r="28" ht="15.75" customHeight="1">
      <c r="A28" s="32"/>
      <c r="B28" s="32"/>
      <c r="C28" s="131" t="str">
        <f>Questions!T20</f>
        <v/>
      </c>
      <c r="D28" s="132" t="str">
        <f>Questions!X20</f>
        <v/>
      </c>
      <c r="E28" s="132" t="str">
        <f>Questions!W20</f>
        <v/>
      </c>
      <c r="F28" s="133" t="str">
        <f>Questions!Y20</f>
        <v/>
      </c>
      <c r="G28" s="32"/>
      <c r="H28" s="32"/>
      <c r="I28" s="32"/>
      <c r="J28" s="32"/>
      <c r="K28" s="32"/>
      <c r="L28" s="32"/>
      <c r="M28" s="32"/>
      <c r="N28" s="32"/>
      <c r="O28" s="32"/>
      <c r="P28" s="32"/>
      <c r="Q28" s="32"/>
      <c r="R28" s="32"/>
      <c r="S28" s="32"/>
      <c r="T28" s="32"/>
      <c r="U28" s="32"/>
      <c r="V28" s="32"/>
      <c r="W28" s="32"/>
      <c r="X28" s="32"/>
      <c r="Y28" s="32"/>
      <c r="Z28" s="32"/>
    </row>
    <row r="29" ht="15.75" customHeight="1">
      <c r="A29" s="32"/>
      <c r="B29" s="32"/>
      <c r="C29" s="131" t="str">
        <f>Questions!T21</f>
        <v/>
      </c>
      <c r="D29" s="132" t="str">
        <f>Questions!X21</f>
        <v/>
      </c>
      <c r="E29" s="132" t="str">
        <f>Questions!W21</f>
        <v/>
      </c>
      <c r="F29" s="133"/>
      <c r="G29" s="32"/>
      <c r="H29" s="32"/>
      <c r="I29" s="32"/>
      <c r="J29" s="32"/>
      <c r="K29" s="32"/>
      <c r="L29" s="32"/>
      <c r="M29" s="32"/>
      <c r="N29" s="32"/>
      <c r="O29" s="32"/>
      <c r="P29" s="32"/>
      <c r="Q29" s="32"/>
      <c r="R29" s="32"/>
      <c r="S29" s="32"/>
      <c r="T29" s="32"/>
      <c r="U29" s="32"/>
      <c r="V29" s="32"/>
      <c r="W29" s="32"/>
      <c r="X29" s="32"/>
      <c r="Y29" s="32"/>
      <c r="Z29" s="32"/>
    </row>
    <row r="30" ht="36.0" customHeight="1">
      <c r="A30" s="41"/>
      <c r="B30" s="41"/>
      <c r="C30" s="130" t="s">
        <v>1159</v>
      </c>
      <c r="D30" s="130" t="str">
        <f>Questions!X23</f>
        <v>#N/A</v>
      </c>
      <c r="E30" s="130" t="str">
        <f>Questions!Y23</f>
        <v>#N/A</v>
      </c>
      <c r="F30" s="136" t="str">
        <f>Questions!W23</f>
        <v>#N/A</v>
      </c>
      <c r="G30" s="41"/>
      <c r="H30" s="41"/>
      <c r="I30" s="41"/>
      <c r="J30" s="41"/>
      <c r="K30" s="41"/>
      <c r="L30" s="41"/>
      <c r="M30" s="41"/>
      <c r="N30" s="41"/>
      <c r="O30" s="41"/>
      <c r="P30" s="41"/>
      <c r="Q30" s="41"/>
      <c r="R30" s="41"/>
      <c r="S30" s="41"/>
      <c r="T30" s="41"/>
      <c r="U30" s="41"/>
      <c r="V30" s="41"/>
      <c r="W30" s="41"/>
      <c r="X30" s="41"/>
      <c r="Y30" s="41"/>
      <c r="Z30" s="41"/>
    </row>
    <row r="31" ht="15.75" customHeight="1">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ht="15.75" customHeight="1">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row>
    <row r="33" ht="36.0" customHeight="1">
      <c r="A33" s="137" t="s">
        <v>1160</v>
      </c>
      <c r="B33" s="2"/>
      <c r="C33" s="2"/>
      <c r="D33" s="2"/>
      <c r="E33" s="2"/>
      <c r="F33" s="2"/>
      <c r="G33" s="3"/>
      <c r="H33" s="138"/>
      <c r="I33" s="138"/>
      <c r="J33" s="138"/>
      <c r="K33" s="138"/>
      <c r="L33" s="138"/>
      <c r="M33" s="138"/>
      <c r="N33" s="138"/>
      <c r="O33" s="138"/>
      <c r="P33" s="138"/>
      <c r="Q33" s="138"/>
      <c r="R33" s="138"/>
      <c r="S33" s="138"/>
      <c r="T33" s="138"/>
      <c r="U33" s="138"/>
      <c r="V33" s="138"/>
      <c r="W33" s="138"/>
      <c r="X33" s="138"/>
      <c r="Y33" s="138"/>
      <c r="Z33" s="138"/>
    </row>
    <row r="34" ht="36.0" customHeight="1">
      <c r="A34" s="139" t="s">
        <v>1161</v>
      </c>
      <c r="B34" s="140" t="s">
        <v>1162</v>
      </c>
      <c r="C34" s="3"/>
      <c r="D34" s="140" t="s">
        <v>1163</v>
      </c>
      <c r="E34" s="2"/>
      <c r="F34" s="3"/>
      <c r="G34" s="139" t="s">
        <v>1164</v>
      </c>
      <c r="H34" s="141"/>
      <c r="I34" s="141"/>
      <c r="J34" s="141"/>
      <c r="K34" s="141"/>
      <c r="L34" s="141"/>
      <c r="M34" s="141"/>
      <c r="N34" s="141"/>
      <c r="O34" s="141"/>
      <c r="P34" s="141"/>
      <c r="Q34" s="141"/>
      <c r="R34" s="141"/>
      <c r="S34" s="141"/>
      <c r="T34" s="141"/>
      <c r="U34" s="141"/>
      <c r="V34" s="141"/>
      <c r="W34" s="141"/>
      <c r="X34" s="141"/>
      <c r="Y34" s="141"/>
      <c r="Z34" s="141"/>
    </row>
    <row r="35" ht="48.0" customHeight="1">
      <c r="A35" s="32" t="str">
        <f>HECVAT!A39</f>
        <v>COMP-01</v>
      </c>
      <c r="B35" s="32" t="str">
        <f>HECVAT!B39</f>
        <v>Describe your organization’s business background and ownership structure, including all parent and subsidiary relationships.</v>
      </c>
      <c r="D35" s="142" t="str">
        <f>HECVAT!C39</f>
        <v>Ivy.ai, Inc. is a Delaware C-Corporation</v>
      </c>
      <c r="G35" s="32"/>
      <c r="H35" s="143" t="str">
        <f t="shared" ref="H35:H63" si="1">IF(G35="","Please rate the vendor's answer","")</f>
        <v>Please rate the vendor's answer</v>
      </c>
      <c r="I35" s="32"/>
      <c r="J35" s="32"/>
      <c r="K35" s="32"/>
      <c r="L35" s="32"/>
      <c r="M35" s="32"/>
      <c r="N35" s="32"/>
      <c r="O35" s="32"/>
      <c r="P35" s="32"/>
      <c r="Q35" s="32"/>
      <c r="R35" s="32"/>
      <c r="S35" s="32"/>
      <c r="T35" s="32"/>
      <c r="U35" s="32"/>
      <c r="V35" s="32"/>
      <c r="W35" s="32"/>
      <c r="X35" s="32"/>
      <c r="Y35" s="32"/>
      <c r="Z35" s="32"/>
    </row>
    <row r="36" ht="48.0" customHeight="1">
      <c r="A36" s="32" t="str">
        <f>HECVAT!A40</f>
        <v>COMP-02</v>
      </c>
      <c r="B36" s="32" t="str">
        <f>HECVAT!B40</f>
        <v>Describe how long your organization has conducted business in this product area.</v>
      </c>
      <c r="D36" s="142" t="str">
        <f>HECVAT!C40</f>
        <v>3 years</v>
      </c>
      <c r="G36" s="32"/>
      <c r="H36" s="143" t="str">
        <f t="shared" si="1"/>
        <v>Please rate the vendor's answer</v>
      </c>
      <c r="I36" s="32"/>
      <c r="J36" s="32"/>
      <c r="K36" s="32"/>
      <c r="L36" s="32"/>
      <c r="M36" s="32"/>
      <c r="N36" s="32"/>
      <c r="O36" s="32"/>
      <c r="P36" s="32"/>
      <c r="Q36" s="32"/>
      <c r="R36" s="32"/>
      <c r="S36" s="32"/>
      <c r="T36" s="32"/>
      <c r="U36" s="32"/>
      <c r="V36" s="32"/>
      <c r="W36" s="32"/>
      <c r="X36" s="32"/>
      <c r="Y36" s="32"/>
      <c r="Z36" s="32"/>
    </row>
    <row r="37" ht="48.0" customHeight="1">
      <c r="A37" s="32" t="str">
        <f>HECVAT!A45</f>
        <v>COMP-07</v>
      </c>
      <c r="B37" s="32" t="str">
        <f>HECVAT!B45</f>
        <v>Use this area to share information about your environment that will assist those who are assessing your company data security program.</v>
      </c>
      <c r="D37" s="142" t="str">
        <f>HECVAT!C45</f>
        <v/>
      </c>
      <c r="G37" s="32"/>
      <c r="H37" s="143" t="str">
        <f t="shared" si="1"/>
        <v>Please rate the vendor's answer</v>
      </c>
      <c r="I37" s="32"/>
      <c r="J37" s="32"/>
      <c r="K37" s="32"/>
      <c r="L37" s="32"/>
      <c r="M37" s="32"/>
      <c r="N37" s="32"/>
      <c r="O37" s="32"/>
      <c r="P37" s="32"/>
      <c r="Q37" s="32"/>
      <c r="R37" s="32"/>
      <c r="S37" s="32"/>
      <c r="T37" s="32"/>
      <c r="U37" s="32"/>
      <c r="V37" s="32"/>
      <c r="W37" s="32"/>
      <c r="X37" s="32"/>
      <c r="Y37" s="32"/>
      <c r="Z37" s="32"/>
    </row>
    <row r="38" ht="48.0" customHeight="1">
      <c r="A38" s="32" t="str">
        <f>HECVAT!A68</f>
        <v>APPL-07</v>
      </c>
      <c r="B38" s="32" t="str">
        <f>HECVAT!B68</f>
        <v>What operating system(s) is/are leveraged by the system(s)/application(s) that will have access to institution's data?</v>
      </c>
      <c r="D38" s="142" t="str">
        <f>HECVAT!C68</f>
        <v>We are hosted on Google Cloud using Linux VMs</v>
      </c>
      <c r="G38" s="32"/>
      <c r="H38" s="143" t="str">
        <f t="shared" si="1"/>
        <v>Please rate the vendor's answer</v>
      </c>
      <c r="I38" s="32"/>
      <c r="J38" s="32"/>
      <c r="K38" s="32"/>
      <c r="L38" s="32"/>
      <c r="M38" s="32"/>
      <c r="N38" s="32"/>
      <c r="O38" s="32"/>
      <c r="P38" s="32"/>
      <c r="Q38" s="32"/>
      <c r="R38" s="32"/>
      <c r="S38" s="32"/>
      <c r="T38" s="32"/>
      <c r="U38" s="32"/>
      <c r="V38" s="32"/>
      <c r="W38" s="32"/>
      <c r="X38" s="32"/>
      <c r="Y38" s="32"/>
      <c r="Z38" s="32"/>
    </row>
    <row r="39" ht="48.0" customHeight="1">
      <c r="A39" s="32" t="str">
        <f>HECVAT!A70</f>
        <v>APPL-09</v>
      </c>
      <c r="B39" s="32" t="str">
        <f>HECVAT!B70</f>
        <v>Describe or provide a reference to additional software/products necessary to implement a functional system on either the backend or user-interface side of the system. </v>
      </c>
      <c r="D39" s="142" t="str">
        <f>HECVAT!C70</f>
        <v>No other software products are necessary</v>
      </c>
      <c r="G39" s="32"/>
      <c r="H39" s="143" t="str">
        <f t="shared" si="1"/>
        <v>Please rate the vendor's answer</v>
      </c>
      <c r="I39" s="32"/>
      <c r="J39" s="32"/>
      <c r="K39" s="32"/>
      <c r="L39" s="32"/>
      <c r="M39" s="32"/>
      <c r="N39" s="32"/>
      <c r="O39" s="32"/>
      <c r="P39" s="32"/>
      <c r="Q39" s="32"/>
      <c r="R39" s="32"/>
      <c r="S39" s="32"/>
      <c r="T39" s="32"/>
      <c r="U39" s="32"/>
      <c r="V39" s="32"/>
      <c r="W39" s="32"/>
      <c r="X39" s="32"/>
      <c r="Y39" s="32"/>
      <c r="Z39" s="32"/>
    </row>
    <row r="40" ht="48.0" customHeight="1">
      <c r="A40" s="32" t="str">
        <f>HECVAT!A71</f>
        <v>APPL-10</v>
      </c>
      <c r="B40" s="32" t="str">
        <f>HECVAT!B71</f>
        <v>Describe or provide a reference to the overall system and/or application architecture(s), including appropriate diagrams. Include a full description of the data communications architecture for all components of the system. </v>
      </c>
      <c r="D40" s="142" t="str">
        <f>HECVAT!C71</f>
        <v>See System Diagram Tab</v>
      </c>
      <c r="G40" s="32"/>
      <c r="H40" s="143" t="str">
        <f t="shared" si="1"/>
        <v>Please rate the vendor's answer</v>
      </c>
      <c r="I40" s="32"/>
      <c r="J40" s="32"/>
      <c r="K40" s="32"/>
      <c r="L40" s="32"/>
      <c r="M40" s="32"/>
      <c r="N40" s="32"/>
      <c r="O40" s="32"/>
      <c r="P40" s="32"/>
      <c r="Q40" s="32"/>
      <c r="R40" s="32"/>
      <c r="S40" s="32"/>
      <c r="T40" s="32"/>
      <c r="U40" s="32"/>
      <c r="V40" s="32"/>
      <c r="W40" s="32"/>
      <c r="X40" s="32"/>
      <c r="Y40" s="32"/>
      <c r="Z40" s="32"/>
    </row>
    <row r="41" ht="48.0" customHeight="1">
      <c r="A41" s="32" t="str">
        <f>HECVAT!A73</f>
        <v>APPL-12</v>
      </c>
      <c r="B41" s="32" t="str">
        <f>HECVAT!B73</f>
        <v>Describe or provide a reference to all web-enabled features and functionality of the system (i.e. accessed via a web-based interface). </v>
      </c>
      <c r="D41" s="142" t="str">
        <f>HECVAT!C73</f>
        <v>Accessed via a web-based interface</v>
      </c>
      <c r="G41" s="32"/>
      <c r="H41" s="143" t="str">
        <f t="shared" si="1"/>
        <v>Please rate the vendor's answer</v>
      </c>
      <c r="I41" s="32"/>
      <c r="J41" s="32"/>
      <c r="K41" s="32"/>
      <c r="L41" s="32"/>
      <c r="M41" s="32"/>
      <c r="N41" s="32"/>
      <c r="O41" s="32"/>
      <c r="P41" s="32"/>
      <c r="Q41" s="32"/>
      <c r="R41" s="32"/>
      <c r="S41" s="32"/>
      <c r="T41" s="32"/>
      <c r="U41" s="32"/>
      <c r="V41" s="32"/>
      <c r="W41" s="32"/>
      <c r="X41" s="32"/>
      <c r="Y41" s="32"/>
      <c r="Z41" s="32"/>
    </row>
    <row r="42" ht="48.0" customHeight="1">
      <c r="A42" s="32" t="str">
        <f>HECVAT!A74</f>
        <v>APPL-13</v>
      </c>
      <c r="B42" s="32" t="str">
        <f>HECVAT!B74</f>
        <v>Are there any OS and/or web-browser combinations that are not currently supported?</v>
      </c>
      <c r="D42" s="142" t="str">
        <f>HECVAT!C74</f>
        <v>All web browser combinations are supported</v>
      </c>
      <c r="G42" s="32"/>
      <c r="H42" s="143" t="str">
        <f t="shared" si="1"/>
        <v>Please rate the vendor's answer</v>
      </c>
      <c r="I42" s="32"/>
      <c r="J42" s="32"/>
      <c r="K42" s="32"/>
      <c r="L42" s="32"/>
      <c r="M42" s="32"/>
      <c r="N42" s="32"/>
      <c r="O42" s="32"/>
      <c r="P42" s="32"/>
      <c r="Q42" s="32"/>
      <c r="R42" s="32"/>
      <c r="S42" s="32"/>
      <c r="T42" s="32"/>
      <c r="U42" s="32"/>
      <c r="V42" s="32"/>
      <c r="W42" s="32"/>
      <c r="X42" s="32"/>
      <c r="Y42" s="32"/>
      <c r="Z42" s="32"/>
    </row>
    <row r="43" ht="48.0" customHeight="1">
      <c r="A43" s="32" t="str">
        <f>HECVAT!A76</f>
        <v>APPL-15</v>
      </c>
      <c r="B43" s="32" t="str">
        <f>HECVAT!B76</f>
        <v>Describe or provide a reference to the facilities available in the system to provide separation of duties between security administration and system administration functions.</v>
      </c>
      <c r="D43" s="142" t="str">
        <f>HECVAT!C76</f>
        <v>CTO is responsible for system administrator function.  VP of technology is responsible for securing the code.  DBA/CTO are only ones with production DB access.</v>
      </c>
      <c r="G43" s="32"/>
      <c r="H43" s="143" t="str">
        <f t="shared" si="1"/>
        <v>Please rate the vendor's answer</v>
      </c>
      <c r="I43" s="32"/>
      <c r="J43" s="32"/>
      <c r="K43" s="32"/>
      <c r="L43" s="32"/>
      <c r="M43" s="32"/>
      <c r="N43" s="32"/>
      <c r="O43" s="32"/>
      <c r="P43" s="32"/>
      <c r="Q43" s="32"/>
      <c r="R43" s="32"/>
      <c r="S43" s="32"/>
      <c r="T43" s="32"/>
      <c r="U43" s="32"/>
      <c r="V43" s="32"/>
      <c r="W43" s="32"/>
      <c r="X43" s="32"/>
      <c r="Y43" s="32"/>
      <c r="Z43" s="32"/>
    </row>
    <row r="44" ht="48.0" customHeight="1">
      <c r="A44" s="32" t="str">
        <f>HECVAT!A77</f>
        <v>APPL-16</v>
      </c>
      <c r="B44" s="32" t="str">
        <f>HECVAT!B77</f>
        <v>Describe or provide a reference that details how administrator access is handled (e.g. provisioning, principle of least privilege, deprovisioning, etc.)</v>
      </c>
      <c r="D44" s="142" t="str">
        <f>HECVAT!C77</f>
        <v>Administrator provisioning is done by: SSO auth, by invitation from the Ivy team, or manually added by the Ivy security team.</v>
      </c>
      <c r="G44" s="32"/>
      <c r="H44" s="143" t="str">
        <f t="shared" si="1"/>
        <v>Please rate the vendor's answer</v>
      </c>
      <c r="I44" s="32"/>
      <c r="J44" s="32"/>
      <c r="K44" s="32"/>
      <c r="L44" s="32"/>
      <c r="M44" s="32"/>
      <c r="N44" s="32"/>
      <c r="O44" s="32"/>
      <c r="P44" s="32"/>
      <c r="Q44" s="32"/>
      <c r="R44" s="32"/>
      <c r="S44" s="32"/>
      <c r="T44" s="32"/>
      <c r="U44" s="32"/>
      <c r="V44" s="32"/>
      <c r="W44" s="32"/>
      <c r="X44" s="32"/>
      <c r="Y44" s="32"/>
      <c r="Z44" s="32"/>
    </row>
    <row r="45" ht="48.0" customHeight="1">
      <c r="A45" s="32" t="str">
        <f>HECVAT!A79</f>
        <v>APPL-18</v>
      </c>
      <c r="B45" s="32" t="str">
        <f>HECVAT!B79</f>
        <v>Describe or provide references explaining how tertiary services are redundant (i.e. DNS, ISP, etc…).</v>
      </c>
      <c r="D45" s="142" t="str">
        <f>HECVAT!C79</f>
        <v>LAN/WAN redundancy, POP</v>
      </c>
      <c r="G45" s="32"/>
      <c r="H45" s="143" t="str">
        <f t="shared" si="1"/>
        <v>Please rate the vendor's answer</v>
      </c>
      <c r="I45" s="32"/>
      <c r="J45" s="32"/>
      <c r="K45" s="32"/>
      <c r="L45" s="32"/>
      <c r="M45" s="32"/>
      <c r="N45" s="32"/>
      <c r="O45" s="32"/>
      <c r="P45" s="32"/>
      <c r="Q45" s="32"/>
      <c r="R45" s="32"/>
      <c r="S45" s="32"/>
      <c r="T45" s="32"/>
      <c r="U45" s="32"/>
      <c r="V45" s="32"/>
      <c r="W45" s="32"/>
      <c r="X45" s="32"/>
      <c r="Y45" s="32"/>
      <c r="Z45" s="32"/>
    </row>
    <row r="46" ht="48.0" customHeight="1">
      <c r="A46" s="32" t="str">
        <f>HECVAT!A96</f>
        <v>AAAI-16</v>
      </c>
      <c r="B46" s="32" t="str">
        <f>HECVAT!B96</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D46" s="142" t="str">
        <f>HECVAT!C96</f>
        <v>Audit logs are kept for all security related events (login/out, login failures, password resets, 2 factor logs)</v>
      </c>
      <c r="G46" s="32"/>
      <c r="H46" s="143" t="str">
        <f t="shared" si="1"/>
        <v>Please rate the vendor's answer</v>
      </c>
      <c r="I46" s="32"/>
      <c r="J46" s="32"/>
      <c r="K46" s="32"/>
      <c r="L46" s="32"/>
      <c r="M46" s="32"/>
      <c r="N46" s="32"/>
      <c r="O46" s="32"/>
      <c r="P46" s="32"/>
      <c r="Q46" s="32"/>
      <c r="R46" s="32"/>
      <c r="S46" s="32"/>
      <c r="T46" s="32"/>
      <c r="U46" s="32"/>
      <c r="V46" s="32"/>
      <c r="W46" s="32"/>
      <c r="X46" s="32"/>
      <c r="Y46" s="32"/>
      <c r="Z46" s="32"/>
    </row>
    <row r="47" ht="48.0" customHeight="1">
      <c r="A47" s="32" t="str">
        <f>HECVAT!A113</f>
        <v>CHNG-02</v>
      </c>
      <c r="B47" s="32" t="str">
        <f>HECVAT!B113</f>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v>
      </c>
      <c r="D47" s="142" t="str">
        <f>HECVAT!C113</f>
        <v>B and C</v>
      </c>
      <c r="G47" s="32"/>
      <c r="H47" s="143" t="str">
        <f t="shared" si="1"/>
        <v>Please rate the vendor's answer</v>
      </c>
      <c r="I47" s="32"/>
      <c r="J47" s="32"/>
      <c r="K47" s="32"/>
      <c r="L47" s="32"/>
      <c r="M47" s="32"/>
      <c r="N47" s="32"/>
      <c r="O47" s="32"/>
      <c r="P47" s="32"/>
      <c r="Q47" s="32"/>
      <c r="R47" s="32"/>
      <c r="S47" s="32"/>
      <c r="T47" s="32"/>
      <c r="U47" s="32"/>
      <c r="V47" s="32"/>
      <c r="W47" s="32"/>
      <c r="X47" s="32"/>
      <c r="Y47" s="32"/>
      <c r="Z47" s="32"/>
    </row>
    <row r="48" ht="48.0" customHeight="1">
      <c r="A48" s="32" t="str">
        <f>HECVAT!A116</f>
        <v>CHNG-05</v>
      </c>
      <c r="B48" s="32" t="str">
        <f>HECVAT!B116</f>
        <v>Describe or provide a reference to your solution support strategy in relation to maintaining software currency. (i.e. how many concurrent versions are you willing to run and support?)</v>
      </c>
      <c r="D48" s="142" t="str">
        <f>HECVAT!C116</f>
        <v>We run three concurrent versions</v>
      </c>
      <c r="G48" s="32"/>
      <c r="H48" s="143" t="str">
        <f t="shared" si="1"/>
        <v>Please rate the vendor's answer</v>
      </c>
      <c r="I48" s="32"/>
      <c r="J48" s="32"/>
      <c r="K48" s="32"/>
      <c r="L48" s="32"/>
      <c r="M48" s="32"/>
      <c r="N48" s="32"/>
      <c r="O48" s="32"/>
      <c r="P48" s="32"/>
      <c r="Q48" s="32"/>
      <c r="R48" s="32"/>
      <c r="S48" s="32"/>
      <c r="T48" s="32"/>
      <c r="U48" s="32"/>
      <c r="V48" s="32"/>
      <c r="W48" s="32"/>
      <c r="X48" s="32"/>
      <c r="Y48" s="32"/>
      <c r="Z48" s="32"/>
    </row>
    <row r="49" ht="48.0" customHeight="1">
      <c r="A49" s="32" t="str">
        <f>HECVAT!A117</f>
        <v>CHNG-06</v>
      </c>
      <c r="B49" s="32" t="str">
        <f>HECVAT!B117</f>
        <v>Identify the most current version of the software. Detail the percentage of live customers that are utilizing the proposed version of the software as well as each version of the software currently in use.</v>
      </c>
      <c r="D49" s="142" t="str">
        <f>HECVAT!C117</f>
        <v>All schools are using bot brian 1.3.1.5.8</v>
      </c>
      <c r="G49" s="32"/>
      <c r="H49" s="143" t="str">
        <f t="shared" si="1"/>
        <v>Please rate the vendor's answer</v>
      </c>
      <c r="I49" s="32"/>
      <c r="J49" s="32"/>
      <c r="K49" s="32"/>
      <c r="L49" s="32"/>
      <c r="M49" s="32"/>
      <c r="N49" s="32"/>
      <c r="O49" s="32"/>
      <c r="P49" s="32"/>
      <c r="Q49" s="32"/>
      <c r="R49" s="32"/>
      <c r="S49" s="32"/>
      <c r="T49" s="32"/>
      <c r="U49" s="32"/>
      <c r="V49" s="32"/>
      <c r="W49" s="32"/>
      <c r="X49" s="32"/>
      <c r="Y49" s="32"/>
      <c r="Z49" s="32"/>
    </row>
    <row r="50" ht="48.0" customHeight="1">
      <c r="A50" s="32" t="str">
        <f>HECVAT!A118</f>
        <v>CHNG-07</v>
      </c>
      <c r="B50" s="32" t="str">
        <f>HECVAT!B118</f>
        <v>Does the system support client customizations from one release to another?</v>
      </c>
      <c r="D50" s="142" t="str">
        <f>HECVAT!C118</f>
        <v>We encourage clients to give feedback via our support system</v>
      </c>
      <c r="G50" s="32"/>
      <c r="H50" s="143" t="str">
        <f t="shared" si="1"/>
        <v>Please rate the vendor's answer</v>
      </c>
      <c r="I50" s="32"/>
      <c r="J50" s="32"/>
      <c r="K50" s="32"/>
      <c r="L50" s="32"/>
      <c r="M50" s="32"/>
      <c r="N50" s="32"/>
      <c r="O50" s="32"/>
      <c r="P50" s="32"/>
      <c r="Q50" s="32"/>
      <c r="R50" s="32"/>
      <c r="S50" s="32"/>
      <c r="T50" s="32"/>
      <c r="U50" s="32"/>
      <c r="V50" s="32"/>
      <c r="W50" s="32"/>
      <c r="X50" s="32"/>
      <c r="Y50" s="32"/>
      <c r="Z50" s="32"/>
    </row>
    <row r="51" ht="48.0" customHeight="1">
      <c r="A51" s="32" t="str">
        <f>HECVAT!A134</f>
        <v>DATA-07</v>
      </c>
      <c r="B51" s="32" t="str">
        <f>HECVAT!B134</f>
        <v>List all locations (i.e. city + datacenter name) where the institution's data will be stored?</v>
      </c>
      <c r="D51" s="142" t="str">
        <f>HECVAT!C134</f>
        <v>Google East Region</v>
      </c>
      <c r="G51" s="32"/>
      <c r="H51" s="143" t="str">
        <f t="shared" si="1"/>
        <v>Please rate the vendor's answer</v>
      </c>
      <c r="I51" s="32"/>
      <c r="J51" s="32"/>
      <c r="K51" s="32"/>
      <c r="L51" s="32"/>
      <c r="M51" s="32"/>
      <c r="N51" s="32"/>
      <c r="O51" s="32"/>
      <c r="P51" s="32"/>
      <c r="Q51" s="32"/>
      <c r="R51" s="32"/>
      <c r="S51" s="32"/>
      <c r="T51" s="32"/>
      <c r="U51" s="32"/>
      <c r="V51" s="32"/>
      <c r="W51" s="32"/>
      <c r="X51" s="32"/>
      <c r="Y51" s="32"/>
      <c r="Z51" s="32"/>
    </row>
    <row r="52" ht="48.0" customHeight="1">
      <c r="A52" s="32" t="str">
        <f>HECVAT!A141</f>
        <v>DATA-14</v>
      </c>
      <c r="B52" s="32" t="str">
        <f>HECVAT!B141</f>
        <v>Describe or provide a reference to the backup processes for the servers on which the service and/or data resides. </v>
      </c>
      <c r="D52" s="142" t="str">
        <f>HECVAT!C141</f>
        <v>Hosted on Google Cloud; backups stored on AWS</v>
      </c>
      <c r="G52" s="32"/>
      <c r="H52" s="143" t="str">
        <f t="shared" si="1"/>
        <v>Please rate the vendor's answer</v>
      </c>
      <c r="I52" s="32"/>
      <c r="J52" s="32"/>
      <c r="K52" s="32"/>
      <c r="L52" s="32"/>
      <c r="M52" s="32"/>
      <c r="N52" s="32"/>
      <c r="O52" s="32"/>
      <c r="P52" s="32"/>
      <c r="Q52" s="32"/>
      <c r="R52" s="32"/>
      <c r="S52" s="32"/>
      <c r="T52" s="32"/>
      <c r="U52" s="32"/>
      <c r="V52" s="32"/>
      <c r="W52" s="32"/>
      <c r="X52" s="32"/>
      <c r="Y52" s="32"/>
      <c r="Z52" s="32"/>
    </row>
    <row r="53" ht="48.0" customHeight="1">
      <c r="A53" s="32" t="str">
        <f>HECVAT!A143</f>
        <v>DATA-16</v>
      </c>
      <c r="B53" s="32" t="str">
        <f>HECVAT!B143</f>
        <v>How long are data backups stored?</v>
      </c>
      <c r="D53" s="142" t="str">
        <f>HECVAT!C143</f>
        <v>5 years</v>
      </c>
      <c r="G53" s="32"/>
      <c r="H53" s="143" t="str">
        <f t="shared" si="1"/>
        <v>Please rate the vendor's answer</v>
      </c>
      <c r="I53" s="32"/>
      <c r="J53" s="32"/>
      <c r="K53" s="32"/>
      <c r="L53" s="32"/>
      <c r="M53" s="32"/>
      <c r="N53" s="32"/>
      <c r="O53" s="32"/>
      <c r="P53" s="32"/>
      <c r="Q53" s="32"/>
      <c r="R53" s="32"/>
      <c r="S53" s="32"/>
      <c r="T53" s="32"/>
      <c r="U53" s="32"/>
      <c r="V53" s="32"/>
      <c r="W53" s="32"/>
      <c r="X53" s="32"/>
      <c r="Y53" s="32"/>
      <c r="Z53" s="32"/>
    </row>
    <row r="54" ht="48.0" customHeight="1">
      <c r="A54" s="32" t="str">
        <f>HECVAT!A166</f>
        <v>DCTR-07</v>
      </c>
      <c r="B54" s="32" t="str">
        <f>HECVAT!B166</f>
        <v>Select the option that best describes the network segment that servers are connected to.</v>
      </c>
      <c r="D54" s="142" t="str">
        <f>HECVAT!C166</f>
        <v>Other</v>
      </c>
      <c r="G54" s="32"/>
      <c r="H54" s="143" t="str">
        <f t="shared" si="1"/>
        <v>Please rate the vendor's answer</v>
      </c>
      <c r="I54" s="32"/>
      <c r="J54" s="32"/>
      <c r="K54" s="32"/>
      <c r="L54" s="32"/>
      <c r="M54" s="32"/>
      <c r="N54" s="32"/>
      <c r="O54" s="32"/>
      <c r="P54" s="32"/>
      <c r="Q54" s="32"/>
      <c r="R54" s="32"/>
      <c r="S54" s="32"/>
      <c r="T54" s="32"/>
      <c r="U54" s="32"/>
      <c r="V54" s="32"/>
      <c r="W54" s="32"/>
      <c r="X54" s="32"/>
      <c r="Y54" s="32"/>
      <c r="Z54" s="32"/>
    </row>
    <row r="55" ht="48.0" customHeight="1">
      <c r="A55" s="32" t="str">
        <f>HECVAT!A169</f>
        <v>DCTR-10</v>
      </c>
      <c r="B55" s="32" t="str">
        <f>HECVAT!B169</f>
        <v>List all datacenters and the cities, states (provinces), and countries where the Institution's data will be stored (including within the Institution's Data Zone).   </v>
      </c>
      <c r="D55" s="142" t="str">
        <f>HECVAT!C169</f>
        <v/>
      </c>
      <c r="G55" s="32"/>
      <c r="H55" s="143" t="str">
        <f t="shared" si="1"/>
        <v>Please rate the vendor's answer</v>
      </c>
      <c r="I55" s="32"/>
      <c r="J55" s="32"/>
      <c r="K55" s="32"/>
      <c r="L55" s="32"/>
      <c r="M55" s="32"/>
      <c r="N55" s="32"/>
      <c r="O55" s="32"/>
      <c r="P55" s="32"/>
      <c r="Q55" s="32"/>
      <c r="R55" s="32"/>
      <c r="S55" s="32"/>
      <c r="T55" s="32"/>
      <c r="U55" s="32"/>
      <c r="V55" s="32"/>
      <c r="W55" s="32"/>
      <c r="X55" s="32"/>
      <c r="Y55" s="32"/>
      <c r="Z55" s="32"/>
    </row>
    <row r="56" ht="48.0" customHeight="1">
      <c r="A56" s="32" t="str">
        <f>HECVAT!A172</f>
        <v>DCTR-13</v>
      </c>
      <c r="B56" s="32" t="str">
        <f>HECVAT!B172</f>
        <v>What Tier Level is your data center (per levels defined by the Uptime Institute)?</v>
      </c>
      <c r="D56" s="142" t="str">
        <f>HECVAT!C172</f>
        <v>Tier IV</v>
      </c>
      <c r="G56" s="32"/>
      <c r="H56" s="143" t="str">
        <f t="shared" si="1"/>
        <v>Please rate the vendor's answer</v>
      </c>
      <c r="I56" s="32"/>
      <c r="J56" s="32"/>
      <c r="K56" s="32"/>
      <c r="L56" s="32"/>
      <c r="M56" s="32"/>
      <c r="N56" s="32"/>
      <c r="O56" s="32"/>
      <c r="P56" s="32"/>
      <c r="Q56" s="32"/>
      <c r="R56" s="32"/>
      <c r="S56" s="32"/>
      <c r="T56" s="32"/>
      <c r="U56" s="32"/>
      <c r="V56" s="32"/>
      <c r="W56" s="32"/>
      <c r="X56" s="32"/>
      <c r="Y56" s="32"/>
      <c r="Z56" s="32"/>
    </row>
    <row r="57" ht="48.0" customHeight="1">
      <c r="A57" s="32" t="str">
        <f>HECVAT!A176</f>
        <v>DCTR-17</v>
      </c>
      <c r="B57" s="32" t="str">
        <f>HECVAT!B176</f>
        <v>Describe or provide a reference to the availability of cooling and fire suppression systems in all datacenters where institution data will reside.</v>
      </c>
      <c r="D57" s="144" t="str">
        <f>HECVAT!C176</f>
        <v>https://cloud.google.com/security</v>
      </c>
      <c r="G57" s="32"/>
      <c r="H57" s="143" t="str">
        <f t="shared" si="1"/>
        <v>Please rate the vendor's answer</v>
      </c>
      <c r="I57" s="32"/>
      <c r="J57" s="32"/>
      <c r="K57" s="32"/>
      <c r="L57" s="32"/>
      <c r="M57" s="32"/>
      <c r="N57" s="32"/>
      <c r="O57" s="32"/>
      <c r="P57" s="32"/>
      <c r="Q57" s="32"/>
      <c r="R57" s="32"/>
      <c r="S57" s="32"/>
      <c r="T57" s="32"/>
      <c r="U57" s="32"/>
      <c r="V57" s="32"/>
      <c r="W57" s="32"/>
      <c r="X57" s="32"/>
      <c r="Y57" s="32"/>
      <c r="Z57" s="32"/>
    </row>
    <row r="58" ht="48.0" customHeight="1">
      <c r="A58" s="32" t="str">
        <f>HECVAT!A177</f>
        <v>DCTR-18</v>
      </c>
      <c r="B58" s="32" t="str">
        <f>HECVAT!B177</f>
        <v>State how many Internet Service Providers (ISPs) provide connectivity to each datacenter where the institution's data will reside. </v>
      </c>
      <c r="D58" s="142" t="str">
        <f>HECVAT!C177</f>
        <v>Unknown</v>
      </c>
      <c r="G58" s="32"/>
      <c r="H58" s="143" t="str">
        <f t="shared" si="1"/>
        <v>Please rate the vendor's answer</v>
      </c>
      <c r="I58" s="32"/>
      <c r="J58" s="32"/>
      <c r="K58" s="32"/>
      <c r="L58" s="32"/>
      <c r="M58" s="32"/>
      <c r="N58" s="32"/>
      <c r="O58" s="32"/>
      <c r="P58" s="32"/>
      <c r="Q58" s="32"/>
      <c r="R58" s="32"/>
      <c r="S58" s="32"/>
      <c r="T58" s="32"/>
      <c r="U58" s="32"/>
      <c r="V58" s="32"/>
      <c r="W58" s="32"/>
      <c r="X58" s="32"/>
      <c r="Y58" s="32"/>
      <c r="Z58" s="32"/>
    </row>
    <row r="59" ht="48.0" customHeight="1">
      <c r="A59" s="32" t="str">
        <f>HECVAT!A196</f>
        <v>FIDP-03</v>
      </c>
      <c r="B59" s="32" t="str">
        <f>HECVAT!B196</f>
        <v>State and describe who has the authority to change firewall rules?</v>
      </c>
      <c r="D59" s="142" t="str">
        <f>HECVAT!C196</f>
        <v>CTO/Sys Admin</v>
      </c>
      <c r="G59" s="32"/>
      <c r="H59" s="143" t="str">
        <f t="shared" si="1"/>
        <v>Please rate the vendor's answer</v>
      </c>
      <c r="I59" s="32"/>
      <c r="J59" s="32"/>
      <c r="K59" s="32"/>
      <c r="L59" s="32"/>
      <c r="M59" s="32"/>
      <c r="N59" s="32"/>
      <c r="O59" s="32"/>
      <c r="P59" s="32"/>
      <c r="Q59" s="32"/>
      <c r="R59" s="32"/>
      <c r="S59" s="32"/>
      <c r="T59" s="32"/>
      <c r="U59" s="32"/>
      <c r="V59" s="32"/>
      <c r="W59" s="32"/>
      <c r="X59" s="32"/>
      <c r="Y59" s="32"/>
      <c r="Z59" s="32"/>
    </row>
    <row r="60" ht="48.0" customHeight="1">
      <c r="A60" s="32" t="str">
        <f>HECVAT!A204</f>
        <v>FIDP-11</v>
      </c>
      <c r="B60" s="32" t="str">
        <f>HECVAT!B204</f>
        <v>Is intrusion monitoring performed internally or by a third-party service?</v>
      </c>
      <c r="D60" s="142" t="str">
        <f>HECVAT!C204</f>
        <v>Internally</v>
      </c>
      <c r="G60" s="32"/>
      <c r="H60" s="143" t="str">
        <f t="shared" si="1"/>
        <v>Please rate the vendor's answer</v>
      </c>
      <c r="I60" s="32"/>
      <c r="J60" s="32"/>
      <c r="K60" s="32"/>
      <c r="L60" s="32"/>
      <c r="M60" s="32"/>
      <c r="N60" s="32"/>
      <c r="O60" s="32"/>
      <c r="P60" s="32"/>
      <c r="Q60" s="32"/>
      <c r="R60" s="32"/>
      <c r="S60" s="32"/>
      <c r="T60" s="32"/>
      <c r="U60" s="32"/>
      <c r="V60" s="32"/>
      <c r="W60" s="32"/>
      <c r="X60" s="32"/>
      <c r="Y60" s="32"/>
      <c r="Z60" s="32"/>
    </row>
    <row r="61" ht="48.0" customHeight="1">
      <c r="A61" s="32" t="str">
        <f>HECVAT!A249</f>
        <v>QLAS-01</v>
      </c>
      <c r="B61" s="142" t="str">
        <f>HECVAT!B249</f>
        <v>Provide a general summary of your Quality Assurance program.</v>
      </c>
      <c r="D61" s="142" t="str">
        <f>HECVAT!C249</f>
        <v>1 full time tester, product manager, and dev team test; as mentioned above, testing happens on Dev -&gt; pass/fail -&gt; move to staging pass/fail -&gt; move to production. We leverage automated testing via Bamboo for common repeateable tests (needs updating?)</v>
      </c>
      <c r="G61" s="32"/>
      <c r="H61" s="143" t="str">
        <f t="shared" si="1"/>
        <v>Please rate the vendor's answer</v>
      </c>
      <c r="I61" s="32"/>
      <c r="J61" s="32"/>
      <c r="K61" s="32"/>
      <c r="L61" s="32"/>
      <c r="M61" s="32"/>
      <c r="N61" s="32"/>
      <c r="O61" s="32"/>
      <c r="P61" s="32"/>
      <c r="Q61" s="32"/>
      <c r="R61" s="32"/>
      <c r="S61" s="32"/>
      <c r="T61" s="32"/>
      <c r="U61" s="32"/>
      <c r="V61" s="32"/>
      <c r="W61" s="32"/>
      <c r="X61" s="32"/>
      <c r="Y61" s="32"/>
      <c r="Z61" s="32"/>
    </row>
    <row r="62" ht="48.0" customHeight="1">
      <c r="A62" s="32" t="str">
        <f>HECVAT!A265</f>
        <v>VULN-06</v>
      </c>
      <c r="B62" s="142" t="str">
        <f>HECVAT!B265</f>
        <v>Describe or provide a reference to the tool(s) used to scan for vulnerabilities in your applications and systems.</v>
      </c>
      <c r="D62" s="142" t="str">
        <f>HECVAT!C265</f>
        <v>OpenVAS</v>
      </c>
      <c r="G62" s="32"/>
      <c r="H62" s="143" t="str">
        <f t="shared" si="1"/>
        <v>Please rate the vendor's answer</v>
      </c>
      <c r="I62" s="32"/>
      <c r="J62" s="32"/>
      <c r="K62" s="32"/>
      <c r="L62" s="32"/>
      <c r="M62" s="32"/>
      <c r="N62" s="32"/>
      <c r="O62" s="32"/>
      <c r="P62" s="32"/>
      <c r="Q62" s="32"/>
      <c r="R62" s="32"/>
      <c r="S62" s="32"/>
      <c r="T62" s="32"/>
      <c r="U62" s="32"/>
      <c r="V62" s="32"/>
      <c r="W62" s="32"/>
      <c r="X62" s="32"/>
      <c r="Y62" s="32"/>
      <c r="Z62" s="32"/>
    </row>
    <row r="63" ht="48.0" customHeight="1">
      <c r="A63" s="32" t="str">
        <f>HECVAT!A267</f>
        <v>VULN-08</v>
      </c>
      <c r="B63" s="142" t="str">
        <f>HECVAT!B267</f>
        <v>Describe or provide a reference to how you monitor for and protect against common web application security vulnerabilities (e.g. SQL injection, XSS, XSRF, etc.).</v>
      </c>
      <c r="D63" s="142" t="str">
        <f>HECVAT!C267</f>
        <v>WAF rules, escaping submission data, etc.</v>
      </c>
      <c r="G63" s="32"/>
      <c r="H63" s="143" t="str">
        <f t="shared" si="1"/>
        <v>Please rate the vendor's answer</v>
      </c>
      <c r="I63" s="32"/>
      <c r="J63" s="32"/>
      <c r="K63" s="32"/>
      <c r="L63" s="32"/>
      <c r="M63" s="32"/>
      <c r="N63" s="32"/>
      <c r="O63" s="32"/>
      <c r="P63" s="32"/>
      <c r="Q63" s="32"/>
      <c r="R63" s="32"/>
      <c r="S63" s="32"/>
      <c r="T63" s="32"/>
      <c r="U63" s="32"/>
      <c r="V63" s="32"/>
      <c r="W63" s="32"/>
      <c r="X63" s="32"/>
      <c r="Y63" s="32"/>
      <c r="Z63" s="32"/>
    </row>
    <row r="64" ht="48.0" customHeight="1">
      <c r="A64" s="145" t="s">
        <v>1165</v>
      </c>
      <c r="B64" s="146" t="str">
        <f>HECVAT!C24</f>
        <v>No</v>
      </c>
      <c r="C64" s="147"/>
      <c r="D64" s="147"/>
      <c r="E64" s="147"/>
      <c r="F64" s="147"/>
      <c r="G64" s="145" t="s">
        <v>1164</v>
      </c>
      <c r="H64" s="32"/>
      <c r="I64" s="32"/>
      <c r="J64" s="32"/>
      <c r="K64" s="32"/>
      <c r="L64" s="32"/>
      <c r="M64" s="32"/>
      <c r="N64" s="32"/>
      <c r="O64" s="32"/>
      <c r="P64" s="32"/>
      <c r="Q64" s="32"/>
      <c r="R64" s="32"/>
      <c r="S64" s="32"/>
      <c r="T64" s="32"/>
      <c r="U64" s="32"/>
      <c r="V64" s="32"/>
      <c r="W64" s="32"/>
      <c r="X64" s="32"/>
      <c r="Y64" s="32"/>
      <c r="Z64" s="32"/>
    </row>
    <row r="65" ht="48.0" customHeight="1">
      <c r="A65" s="32" t="str">
        <f>HECVAT!A292</f>
        <v>HIPA-23</v>
      </c>
      <c r="B65" s="142" t="str">
        <f>HECVAT!B292</f>
        <v>How long does the application keep access/change logs?</v>
      </c>
      <c r="D65" s="142" t="str">
        <f>HECVAT!C292</f>
        <v/>
      </c>
      <c r="G65" s="32"/>
      <c r="H65" s="143" t="str">
        <f>IF(G65="",IF(B64=1,"Please rate the vendor's answer",""),"")</f>
        <v/>
      </c>
      <c r="I65" s="32"/>
      <c r="J65" s="32"/>
      <c r="K65" s="32"/>
      <c r="L65" s="32"/>
      <c r="M65" s="32"/>
      <c r="N65" s="32"/>
      <c r="O65" s="32"/>
      <c r="P65" s="32"/>
      <c r="Q65" s="32"/>
      <c r="R65" s="32"/>
      <c r="S65" s="32"/>
      <c r="T65" s="32"/>
      <c r="U65" s="32"/>
      <c r="V65" s="32"/>
      <c r="W65" s="32"/>
      <c r="X65" s="32"/>
      <c r="Y65" s="32"/>
      <c r="Z65" s="32"/>
    </row>
    <row r="66" ht="48.0" customHeight="1">
      <c r="A66" s="145" t="s">
        <v>1166</v>
      </c>
      <c r="B66" s="145" t="str">
        <f>HECVAT!C25</f>
        <v>No</v>
      </c>
      <c r="C66" s="145"/>
      <c r="D66" s="147"/>
      <c r="E66" s="147"/>
      <c r="F66" s="147"/>
      <c r="G66" s="145" t="s">
        <v>1164</v>
      </c>
      <c r="H66" s="32"/>
      <c r="I66" s="32"/>
      <c r="J66" s="32"/>
      <c r="K66" s="32"/>
      <c r="L66" s="32"/>
      <c r="M66" s="32"/>
      <c r="N66" s="32"/>
      <c r="O66" s="32"/>
      <c r="P66" s="32"/>
      <c r="Q66" s="32"/>
      <c r="R66" s="32"/>
      <c r="S66" s="32"/>
      <c r="T66" s="32"/>
      <c r="U66" s="32"/>
      <c r="V66" s="32"/>
      <c r="W66" s="32"/>
      <c r="X66" s="32"/>
      <c r="Y66" s="32"/>
      <c r="Z66" s="32"/>
    </row>
    <row r="67" ht="48.0" customHeight="1">
      <c r="A67" s="32" t="str">
        <f>HECVAT!A207</f>
        <v>MAPP-01</v>
      </c>
      <c r="B67" s="32" t="str">
        <f>HECVAT!B207</f>
        <v>On which mobile operating systems is your software or service supported?</v>
      </c>
      <c r="D67" s="142" t="str">
        <f>HECVAT!C207</f>
        <v/>
      </c>
      <c r="G67" s="32"/>
      <c r="H67" s="143" t="str">
        <f t="shared" ref="H67:H68" si="2">IF(G67="",IF(B$66=1,"Please rate the vendor's answer",""),"")</f>
        <v/>
      </c>
      <c r="I67" s="32"/>
      <c r="J67" s="32"/>
      <c r="K67" s="32"/>
      <c r="L67" s="32"/>
      <c r="M67" s="32"/>
      <c r="N67" s="32"/>
      <c r="O67" s="32"/>
      <c r="P67" s="32"/>
      <c r="Q67" s="32"/>
      <c r="R67" s="32"/>
      <c r="S67" s="32"/>
      <c r="T67" s="32"/>
      <c r="U67" s="32"/>
      <c r="V67" s="32"/>
      <c r="W67" s="32"/>
      <c r="X67" s="32"/>
      <c r="Y67" s="32"/>
      <c r="Z67" s="32"/>
    </row>
    <row r="68" ht="48.0" customHeight="1">
      <c r="A68" s="32" t="str">
        <f>HECVAT!A208</f>
        <v>MAPP-02</v>
      </c>
      <c r="B68" s="32" t="str">
        <f>HECVAT!B208</f>
        <v>Describe or provide a reference to the application's architecture and functionality.</v>
      </c>
      <c r="D68" s="142" t="str">
        <f>HECVAT!C208</f>
        <v/>
      </c>
      <c r="G68" s="32"/>
      <c r="H68" s="143" t="str">
        <f t="shared" si="2"/>
        <v/>
      </c>
      <c r="I68" s="32"/>
      <c r="J68" s="32"/>
      <c r="K68" s="32"/>
      <c r="L68" s="32"/>
      <c r="M68" s="32"/>
      <c r="N68" s="32"/>
      <c r="O68" s="32"/>
      <c r="P68" s="32"/>
      <c r="Q68" s="32"/>
      <c r="R68" s="32"/>
      <c r="S68" s="32"/>
      <c r="T68" s="32"/>
      <c r="U68" s="32"/>
      <c r="V68" s="32"/>
      <c r="W68" s="32"/>
      <c r="X68" s="32"/>
      <c r="Y68" s="32"/>
      <c r="Z68" s="32"/>
    </row>
    <row r="69" ht="48.0" customHeight="1">
      <c r="A69" s="32" t="str">
        <f>HECVAT!A214</f>
        <v>MAPP-08</v>
      </c>
      <c r="B69" s="32" t="str">
        <f>HECVAT!B214</f>
        <v>Will any of these systems be implemented on systems hosting the Institution's data?</v>
      </c>
      <c r="D69" s="142" t="str">
        <f>HECVAT!C214</f>
        <v/>
      </c>
      <c r="G69" s="32"/>
      <c r="H69" s="143"/>
      <c r="I69" s="32"/>
      <c r="J69" s="32"/>
      <c r="K69" s="32"/>
      <c r="L69" s="32"/>
      <c r="M69" s="32"/>
      <c r="N69" s="32"/>
      <c r="O69" s="32"/>
      <c r="P69" s="32"/>
      <c r="Q69" s="32"/>
      <c r="R69" s="32"/>
      <c r="S69" s="32"/>
      <c r="T69" s="32"/>
      <c r="U69" s="32"/>
      <c r="V69" s="32"/>
      <c r="W69" s="32"/>
      <c r="X69" s="32"/>
      <c r="Y69" s="32"/>
      <c r="Z69" s="32"/>
    </row>
    <row r="70" ht="48.0" customHeight="1">
      <c r="A70" s="32" t="str">
        <f>HECVAT!A217</f>
        <v>MAPP-11</v>
      </c>
      <c r="B70" s="32" t="str">
        <f>HECVAT!B217</f>
        <v>State the party that performed the vulnerability test and the date it was conducted?</v>
      </c>
      <c r="D70" s="142" t="str">
        <f>HECVAT!C217</f>
        <v/>
      </c>
      <c r="G70" s="32"/>
      <c r="H70" s="143" t="str">
        <f>IF(G70="",IF(B$66=1,"Please rate the vendor's answer",""),"")</f>
        <v/>
      </c>
      <c r="I70" s="32"/>
      <c r="J70" s="32"/>
      <c r="K70" s="32"/>
      <c r="L70" s="32"/>
      <c r="M70" s="32"/>
      <c r="N70" s="32"/>
      <c r="O70" s="32"/>
      <c r="P70" s="32"/>
      <c r="Q70" s="32"/>
      <c r="R70" s="32"/>
      <c r="S70" s="32"/>
      <c r="T70" s="32"/>
      <c r="U70" s="32"/>
      <c r="V70" s="32"/>
      <c r="W70" s="32"/>
      <c r="X70" s="32"/>
      <c r="Y70" s="32"/>
      <c r="Z70" s="32"/>
    </row>
    <row r="71" ht="48.0" customHeight="1">
      <c r="A71" s="145" t="s">
        <v>1167</v>
      </c>
      <c r="B71" s="145" t="str">
        <f>HECVAT!C26</f>
        <v>No</v>
      </c>
      <c r="C71" s="145"/>
      <c r="D71" s="147"/>
      <c r="E71" s="147"/>
      <c r="F71" s="147"/>
      <c r="G71" s="145" t="s">
        <v>1164</v>
      </c>
      <c r="H71" s="32"/>
      <c r="I71" s="32"/>
      <c r="J71" s="32"/>
      <c r="K71" s="32"/>
      <c r="L71" s="32"/>
      <c r="M71" s="32"/>
      <c r="N71" s="32"/>
      <c r="O71" s="32"/>
      <c r="P71" s="32"/>
      <c r="Q71" s="32"/>
      <c r="R71" s="32"/>
      <c r="S71" s="32"/>
      <c r="T71" s="32"/>
      <c r="U71" s="32"/>
      <c r="V71" s="32"/>
      <c r="W71" s="32"/>
      <c r="X71" s="32"/>
      <c r="Y71" s="32"/>
      <c r="Z71" s="32"/>
    </row>
    <row r="72" ht="48.0" customHeight="1">
      <c r="A72" s="32" t="str">
        <f>HECVAT!A47</f>
        <v>THRD-01</v>
      </c>
      <c r="B72" s="32" t="str">
        <f>HECVAT!B47</f>
        <v>Describe how you perform security assessments of third party companies with which you share data (i.e. hosting providers, cloud services, PaaS, IaaS, SaaS, etc.). Provide a summary of your practices that assures that the third party will be subject to the appropriate standards regarding security, service recoverability, and confidentiality.</v>
      </c>
      <c r="D72" s="142" t="str">
        <f>HECVAT!C211</f>
        <v/>
      </c>
      <c r="G72" s="32"/>
      <c r="H72" s="143" t="str">
        <f t="shared" ref="H72:H75" si="3">IF(G72="",IF(B$71=1,"Please rate the vendor's answer",""),"")</f>
        <v/>
      </c>
      <c r="I72" s="32"/>
      <c r="J72" s="32"/>
      <c r="K72" s="32"/>
      <c r="L72" s="32"/>
      <c r="M72" s="32"/>
      <c r="N72" s="32"/>
      <c r="O72" s="32"/>
      <c r="P72" s="32"/>
      <c r="Q72" s="32"/>
      <c r="R72" s="32"/>
      <c r="S72" s="32"/>
      <c r="T72" s="32"/>
      <c r="U72" s="32"/>
      <c r="V72" s="32"/>
      <c r="W72" s="32"/>
      <c r="X72" s="32"/>
      <c r="Y72" s="32"/>
      <c r="Z72" s="32"/>
    </row>
    <row r="73" ht="48.0" customHeight="1">
      <c r="A73" s="32" t="str">
        <f>HECVAT!A48</f>
        <v>THRD-02</v>
      </c>
      <c r="B73" s="32" t="str">
        <f>HECVAT!B48</f>
        <v>Provide a brief description for why each of these third parties will have access to institution data.</v>
      </c>
      <c r="D73" s="142" t="str">
        <f>HECVAT!C212</f>
        <v/>
      </c>
      <c r="G73" s="32"/>
      <c r="H73" s="143" t="str">
        <f t="shared" si="3"/>
        <v/>
      </c>
      <c r="I73" s="32"/>
      <c r="J73" s="32"/>
      <c r="K73" s="32"/>
      <c r="L73" s="32"/>
      <c r="M73" s="32"/>
      <c r="N73" s="32"/>
      <c r="O73" s="32"/>
      <c r="P73" s="32"/>
      <c r="Q73" s="32"/>
      <c r="R73" s="32"/>
      <c r="S73" s="32"/>
      <c r="T73" s="32"/>
      <c r="U73" s="32"/>
      <c r="V73" s="32"/>
      <c r="W73" s="32"/>
      <c r="X73" s="32"/>
      <c r="Y73" s="32"/>
      <c r="Z73" s="32"/>
    </row>
    <row r="74" ht="48.0" customHeight="1">
      <c r="A74" s="32" t="str">
        <f>HECVAT!A49</f>
        <v>THRD-03</v>
      </c>
      <c r="B74" s="32" t="str">
        <f>HECVAT!B49</f>
        <v>What legal agreements (i.e. contracts) do you have in place with these third parties that address liability in the event of a data breach?</v>
      </c>
      <c r="D74" s="142" t="str">
        <f>HECVAT!C221</f>
        <v>Yes</v>
      </c>
      <c r="G74" s="32"/>
      <c r="H74" s="143" t="str">
        <f t="shared" si="3"/>
        <v/>
      </c>
      <c r="I74" s="32"/>
      <c r="J74" s="32"/>
      <c r="K74" s="32"/>
      <c r="L74" s="32"/>
      <c r="M74" s="32"/>
      <c r="N74" s="32"/>
      <c r="O74" s="32"/>
      <c r="P74" s="32"/>
      <c r="Q74" s="32"/>
      <c r="R74" s="32"/>
      <c r="S74" s="32"/>
      <c r="T74" s="32"/>
      <c r="U74" s="32"/>
      <c r="V74" s="32"/>
      <c r="W74" s="32"/>
      <c r="X74" s="32"/>
      <c r="Y74" s="32"/>
      <c r="Z74" s="32"/>
    </row>
    <row r="75" ht="48.0" customHeight="1">
      <c r="A75" s="32" t="str">
        <f>HECVAT!A50</f>
        <v>THRD-04</v>
      </c>
      <c r="B75" s="32" t="str">
        <f>HECVAT!B50</f>
        <v>Describe or provide references to your third party management strategy or provide additional information that may help analysts better understand your environment and how it relates to third-party solutions.</v>
      </c>
      <c r="D75" s="142" t="str">
        <f>HECVAT!C222</f>
        <v>Yes</v>
      </c>
      <c r="G75" s="32"/>
      <c r="H75" s="143" t="str">
        <f t="shared" si="3"/>
        <v/>
      </c>
      <c r="I75" s="32"/>
      <c r="J75" s="32"/>
      <c r="K75" s="32"/>
      <c r="L75" s="32"/>
      <c r="M75" s="32"/>
      <c r="N75" s="32"/>
      <c r="O75" s="32"/>
      <c r="P75" s="32"/>
      <c r="Q75" s="32"/>
      <c r="R75" s="32"/>
      <c r="S75" s="32"/>
      <c r="T75" s="32"/>
      <c r="U75" s="32"/>
      <c r="V75" s="32"/>
      <c r="W75" s="32"/>
      <c r="X75" s="32"/>
      <c r="Y75" s="32"/>
      <c r="Z75" s="32"/>
    </row>
    <row r="76" ht="48.0" customHeight="1">
      <c r="A76" s="145" t="s">
        <v>1168</v>
      </c>
      <c r="B76" s="145" t="str">
        <f>HECVAT!C27</f>
        <v>Yes</v>
      </c>
      <c r="C76" s="145"/>
      <c r="D76" s="147"/>
      <c r="E76" s="147"/>
      <c r="F76" s="147"/>
      <c r="G76" s="145" t="s">
        <v>1164</v>
      </c>
      <c r="H76" s="32"/>
      <c r="I76" s="32"/>
      <c r="J76" s="32"/>
      <c r="K76" s="32"/>
      <c r="L76" s="32"/>
      <c r="M76" s="32"/>
      <c r="N76" s="32"/>
      <c r="O76" s="32"/>
      <c r="P76" s="32"/>
      <c r="Q76" s="32"/>
      <c r="R76" s="32"/>
      <c r="S76" s="32"/>
      <c r="T76" s="32"/>
      <c r="U76" s="32"/>
      <c r="V76" s="32"/>
      <c r="W76" s="32"/>
      <c r="X76" s="32"/>
      <c r="Y76" s="32"/>
      <c r="Z76" s="32"/>
    </row>
    <row r="77" ht="48.0" customHeight="1">
      <c r="A77" s="32" t="str">
        <f>HECVAT!A99</f>
        <v>BCPL-01</v>
      </c>
      <c r="B77" s="32" t="str">
        <f>HECVAT!B99</f>
        <v>Describe or provide a reference to your Business Continuity Plan (BCP).</v>
      </c>
      <c r="D77" s="142" t="str">
        <f>HECVAT!C99</f>
        <v>Our BCP holds proprietary information which we can only provide under NDA.</v>
      </c>
      <c r="G77" s="32"/>
      <c r="H77" s="143" t="str">
        <f>IF(G77="",IF(B$76=1,"Please rate the vendor's answer",""),"")</f>
        <v/>
      </c>
      <c r="I77" s="32"/>
      <c r="J77" s="32"/>
      <c r="K77" s="32"/>
      <c r="L77" s="32"/>
      <c r="M77" s="32"/>
      <c r="N77" s="32"/>
      <c r="O77" s="32"/>
      <c r="P77" s="32"/>
      <c r="Q77" s="32"/>
      <c r="R77" s="32"/>
      <c r="S77" s="32"/>
      <c r="T77" s="32"/>
      <c r="U77" s="32"/>
      <c r="V77" s="32"/>
      <c r="W77" s="32"/>
      <c r="X77" s="32"/>
      <c r="Y77" s="32"/>
      <c r="Z77" s="32"/>
    </row>
    <row r="78" ht="48.0" customHeight="1">
      <c r="A78" s="145" t="s">
        <v>1169</v>
      </c>
      <c r="B78" s="145" t="str">
        <f>HECVAT!C30</f>
        <v>No</v>
      </c>
      <c r="C78" s="145"/>
      <c r="D78" s="147"/>
      <c r="E78" s="147"/>
      <c r="F78" s="147"/>
      <c r="G78" s="145" t="s">
        <v>1164</v>
      </c>
      <c r="H78" s="32"/>
      <c r="I78" s="32"/>
      <c r="J78" s="32"/>
      <c r="K78" s="32"/>
      <c r="L78" s="32"/>
      <c r="M78" s="32"/>
      <c r="N78" s="32"/>
      <c r="O78" s="32"/>
      <c r="P78" s="32"/>
      <c r="Q78" s="32"/>
      <c r="R78" s="32"/>
      <c r="S78" s="32"/>
      <c r="T78" s="32"/>
      <c r="U78" s="32"/>
      <c r="V78" s="32"/>
      <c r="W78" s="32"/>
      <c r="X78" s="32"/>
      <c r="Y78" s="32"/>
      <c r="Z78" s="32"/>
    </row>
    <row r="79" ht="48.0" customHeight="1">
      <c r="A79" s="32" t="str">
        <f>HECVAT!A180</f>
        <v>DRPL-01</v>
      </c>
      <c r="B79" s="32" t="str">
        <f>HECVAT!B180</f>
        <v>Describe or provide a reference to your Disaster Recovery Plan (DRP).</v>
      </c>
      <c r="D79" s="142" t="str">
        <f>HECVAT!C180</f>
        <v>We cannot share our Disaster Recovery Plan unless we are under NDA.</v>
      </c>
      <c r="G79" s="32"/>
      <c r="H79" s="143" t="str">
        <f t="shared" ref="H79:H80" si="4">IF(G79="",IF(B$78=1,"Please rate the vendor's answer",""),"")</f>
        <v/>
      </c>
      <c r="I79" s="32"/>
      <c r="J79" s="32"/>
      <c r="K79" s="32"/>
      <c r="L79" s="32"/>
      <c r="M79" s="32"/>
      <c r="N79" s="32"/>
      <c r="O79" s="32"/>
      <c r="P79" s="32"/>
      <c r="Q79" s="32"/>
      <c r="R79" s="32"/>
      <c r="S79" s="32"/>
      <c r="T79" s="32"/>
      <c r="U79" s="32"/>
      <c r="V79" s="32"/>
      <c r="W79" s="32"/>
      <c r="X79" s="32"/>
      <c r="Y79" s="32"/>
      <c r="Z79" s="32"/>
    </row>
    <row r="80" ht="48.0" customHeight="1">
      <c r="A80" s="32" t="str">
        <f>HECVAT!A188</f>
        <v>DRPL-09</v>
      </c>
      <c r="B80" s="32" t="str">
        <f>HECVAT!B188</f>
        <v>Describe or provide a reference to how your disaster recovery plan is tested? (i.e. scope of DR tests, end-to-end testing, etc.)</v>
      </c>
      <c r="D80" s="142" t="str">
        <f>HECVAT!C188</f>
        <v>End-to-end testing, quarterly</v>
      </c>
      <c r="G80" s="32"/>
      <c r="H80" s="143" t="str">
        <f t="shared" si="4"/>
        <v/>
      </c>
      <c r="I80" s="32"/>
      <c r="J80" s="32"/>
      <c r="K80" s="32"/>
      <c r="L80" s="32"/>
      <c r="M80" s="32"/>
      <c r="N80" s="32"/>
      <c r="O80" s="32"/>
      <c r="P80" s="32"/>
      <c r="Q80" s="32"/>
      <c r="R80" s="32"/>
      <c r="S80" s="32"/>
      <c r="T80" s="32"/>
      <c r="U80" s="32"/>
      <c r="V80" s="32"/>
      <c r="W80" s="32"/>
      <c r="X80" s="32"/>
      <c r="Y80" s="32"/>
      <c r="Z80" s="32"/>
    </row>
    <row r="81" ht="48.0" customHeight="1">
      <c r="A81" s="145" t="s">
        <v>1170</v>
      </c>
      <c r="B81" s="145" t="str">
        <f>HECVAT!C29</f>
        <v>No</v>
      </c>
      <c r="C81" s="145"/>
      <c r="D81" s="147"/>
      <c r="E81" s="147"/>
      <c r="F81" s="147"/>
      <c r="G81" s="145" t="s">
        <v>1164</v>
      </c>
      <c r="H81" s="32"/>
      <c r="I81" s="32"/>
      <c r="J81" s="32"/>
      <c r="K81" s="32"/>
      <c r="L81" s="32"/>
      <c r="M81" s="32"/>
      <c r="N81" s="32"/>
      <c r="O81" s="32"/>
      <c r="P81" s="32"/>
      <c r="Q81" s="32"/>
      <c r="R81" s="32"/>
      <c r="S81" s="32"/>
      <c r="T81" s="32"/>
      <c r="U81" s="32"/>
      <c r="V81" s="32"/>
      <c r="W81" s="32"/>
      <c r="X81" s="32"/>
      <c r="Y81" s="32"/>
      <c r="Z81" s="32"/>
    </row>
    <row r="82" ht="48.0" customHeight="1">
      <c r="A82" s="32" t="str">
        <f>HECVAT!A307</f>
        <v>PCID-06</v>
      </c>
      <c r="B82" s="32" t="str">
        <f>HECVAT!B307</f>
        <v>Are you classified as a merchant?  If so, what level (1, 2, 3, 4)?</v>
      </c>
      <c r="D82" s="142" t="str">
        <f>HECVAT!C307</f>
        <v/>
      </c>
      <c r="G82" s="32"/>
      <c r="H82" s="143" t="str">
        <f t="shared" ref="H82:H85" si="5">IF(G82="",IF(B$81=1,"Please rate the vendor's answer",""),"")</f>
        <v/>
      </c>
      <c r="I82" s="32"/>
      <c r="J82" s="32"/>
      <c r="K82" s="32"/>
      <c r="L82" s="32"/>
      <c r="M82" s="32"/>
      <c r="N82" s="32"/>
      <c r="O82" s="32"/>
      <c r="P82" s="32"/>
      <c r="Q82" s="32"/>
      <c r="R82" s="32"/>
      <c r="S82" s="32"/>
      <c r="T82" s="32"/>
      <c r="U82" s="32"/>
      <c r="V82" s="32"/>
      <c r="W82" s="32"/>
      <c r="X82" s="32"/>
      <c r="Y82" s="32"/>
      <c r="Z82" s="32"/>
    </row>
    <row r="83" ht="48.0" customHeight="1">
      <c r="A83" s="32" t="str">
        <f>HECVAT!A308</f>
        <v>PCID-07</v>
      </c>
      <c r="B83" s="32" t="str">
        <f>HECVAT!B308</f>
        <v>Describe the architecture employed by the system to verify and authorize credit card transactions.</v>
      </c>
      <c r="D83" s="142" t="str">
        <f>HECVAT!C308</f>
        <v/>
      </c>
      <c r="G83" s="32"/>
      <c r="H83" s="143" t="str">
        <f t="shared" si="5"/>
        <v/>
      </c>
      <c r="I83" s="32"/>
      <c r="J83" s="32"/>
      <c r="K83" s="32"/>
      <c r="L83" s="32"/>
      <c r="M83" s="32"/>
      <c r="N83" s="32"/>
      <c r="O83" s="32"/>
      <c r="P83" s="32"/>
      <c r="Q83" s="32"/>
      <c r="R83" s="32"/>
      <c r="S83" s="32"/>
      <c r="T83" s="32"/>
      <c r="U83" s="32"/>
      <c r="V83" s="32"/>
      <c r="W83" s="32"/>
      <c r="X83" s="32"/>
      <c r="Y83" s="32"/>
      <c r="Z83" s="32"/>
    </row>
    <row r="84" ht="48.0" customHeight="1">
      <c r="A84" s="32" t="str">
        <f>HECVAT!A309</f>
        <v>PCID-08</v>
      </c>
      <c r="B84" s="32" t="str">
        <f>HECVAT!B309</f>
        <v>What payment processors/gateways does the system support? </v>
      </c>
      <c r="D84" s="142" t="str">
        <f>HECVAT!C309</f>
        <v/>
      </c>
      <c r="G84" s="32"/>
      <c r="H84" s="143" t="str">
        <f t="shared" si="5"/>
        <v/>
      </c>
      <c r="I84" s="32"/>
      <c r="J84" s="32"/>
      <c r="K84" s="32"/>
      <c r="L84" s="32"/>
      <c r="M84" s="32"/>
      <c r="N84" s="32"/>
      <c r="O84" s="32"/>
      <c r="P84" s="32"/>
      <c r="Q84" s="32"/>
      <c r="R84" s="32"/>
      <c r="S84" s="32"/>
      <c r="T84" s="32"/>
      <c r="U84" s="32"/>
      <c r="V84" s="32"/>
      <c r="W84" s="32"/>
      <c r="X84" s="32"/>
      <c r="Y84" s="32"/>
      <c r="Z84" s="32"/>
    </row>
    <row r="85" ht="48.0" customHeight="1">
      <c r="A85" s="32" t="str">
        <f>HECVAT!A313</f>
        <v>PCID-12</v>
      </c>
      <c r="B85" s="32" t="str">
        <f>HECVAT!B313</f>
        <v>Include documentation describing the systems' abilities to comply with the PCI DSS and any features or capabilities of the system that must be added or changed in order to operate in compliance with the standards. </v>
      </c>
      <c r="D85" s="142" t="str">
        <f>HECVAT!C313</f>
        <v/>
      </c>
      <c r="G85" s="32"/>
      <c r="H85" s="143" t="str">
        <f t="shared" si="5"/>
        <v/>
      </c>
      <c r="I85" s="32"/>
      <c r="J85" s="32"/>
      <c r="K85" s="32"/>
      <c r="L85" s="32"/>
      <c r="M85" s="32"/>
      <c r="N85" s="32"/>
      <c r="O85" s="32"/>
      <c r="P85" s="32"/>
      <c r="Q85" s="32"/>
      <c r="R85" s="32"/>
      <c r="S85" s="32"/>
      <c r="T85" s="32"/>
      <c r="U85" s="32"/>
      <c r="V85" s="32"/>
      <c r="W85" s="32"/>
      <c r="X85" s="32"/>
      <c r="Y85" s="32"/>
      <c r="Z85" s="32"/>
    </row>
    <row r="86" ht="48.0" customHeight="1">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ht="48.0" customHeight="1">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ht="48.0" customHeight="1">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ht="48.0" customHeight="1">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ht="48.0" customHeight="1">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ht="48.0" customHeight="1">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ht="48.0" customHeight="1">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ht="48.0" customHeight="1">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ht="48.0" customHeight="1">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ht="48.0" customHeight="1">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ht="48.0" customHeight="1">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ht="48.0" customHeight="1">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ht="48.0" customHeight="1">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ht="48.0" customHeight="1">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ht="48.0" customHeight="1">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ht="48.0" customHeight="1">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ht="48.0" customHeight="1">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ht="48.0" customHeight="1">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ht="48.0" customHeight="1">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ht="48.0" customHeight="1">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ht="48.0" customHeight="1">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ht="48.0" customHeight="1">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ht="48.0" customHeight="1">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ht="48.0" customHeight="1">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ht="48.0" customHeight="1">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ht="48.0" customHeight="1">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ht="48.0" customHeight="1">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ht="48.0" customHeight="1">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ht="48.0" customHeight="1">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ht="48.0" customHeight="1">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ht="48.0" customHeight="1">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ht="48.0" customHeight="1">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ht="48.0" customHeight="1">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ht="48.0" customHeight="1">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ht="48.0" customHeight="1">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ht="48.0" customHeight="1">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ht="48.0" customHeight="1">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ht="48.0" customHeight="1">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ht="48.0" customHeight="1">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ht="48.0" customHeight="1">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ht="48.0" customHeight="1">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ht="48.0" customHeight="1">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ht="48.0" customHeight="1">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ht="48.0" customHeight="1">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ht="48.0" customHeight="1">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ht="48.0" customHeight="1">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ht="48.0" customHeight="1">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ht="48.0" customHeight="1">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ht="48.0" customHeight="1">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ht="48.0" customHeight="1">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ht="48.0" customHeight="1">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ht="48.0" customHeight="1">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ht="48.0" customHeight="1">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ht="48.0" customHeight="1">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ht="48.0" customHeight="1">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ht="48.0" customHeight="1">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ht="48.0" customHeight="1">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ht="48.0" customHeight="1">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ht="48.0" customHeight="1">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ht="48.0" customHeight="1">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ht="48.0" customHeight="1">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ht="48.0" customHeight="1">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ht="48.0" customHeight="1">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ht="48.0" customHeight="1">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ht="48.0" customHeight="1">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ht="48.0" customHeight="1">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ht="48.0" customHeight="1">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ht="48.0" customHeight="1">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ht="48.0" customHeight="1">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ht="48.0" customHeight="1">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ht="48.0" customHeight="1">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ht="48.0" customHeight="1">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ht="48.0" customHeight="1">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ht="48.0" customHeight="1">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ht="48.0" customHeight="1">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ht="48.0" customHeight="1">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ht="48.0" customHeight="1">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ht="48.0" customHeight="1">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ht="48.0" customHeight="1">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ht="48.0" customHeight="1">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ht="48.0" customHeight="1">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ht="48.0" customHeight="1">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ht="48.0" customHeight="1">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ht="48.0" customHeight="1">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ht="48.0" customHeight="1">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ht="48.0" customHeight="1">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ht="48.0" customHeight="1">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ht="48.0" customHeight="1">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ht="48.0" customHeight="1">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ht="48.0" customHeight="1">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ht="48.0" customHeight="1">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ht="48.0" customHeight="1">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ht="48.0" customHeight="1">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ht="48.0" customHeight="1">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ht="48.0" customHeight="1">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ht="48.0" customHeight="1">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ht="48.0" customHeight="1">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ht="48.0" customHeight="1">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ht="48.0" customHeight="1">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ht="48.0" customHeight="1">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ht="48.0" customHeight="1">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ht="48.0" customHeight="1">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ht="48.0" customHeight="1">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ht="48.0" customHeight="1">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ht="48.0" customHeight="1">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ht="48.0" customHeight="1">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ht="48.0" customHeight="1">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ht="48.0" customHeight="1">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ht="48.0" customHeight="1">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ht="48.0" customHeight="1">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ht="48.0" customHeight="1">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ht="48.0" customHeight="1">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ht="48.0" customHeight="1">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ht="48.0" customHeight="1">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ht="48.0" customHeight="1">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ht="48.0" customHeight="1">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ht="48.0" customHeight="1">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ht="48.0" customHeight="1">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ht="48.0" customHeight="1">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ht="48.0" customHeight="1">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ht="48.0" customHeight="1">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ht="48.0" customHeight="1">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ht="48.0" customHeight="1">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ht="48.0" customHeight="1">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ht="48.0"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ht="48.0" customHeight="1">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ht="48.0" customHeight="1">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ht="48.0" customHeight="1">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ht="48.0" customHeight="1">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ht="48.0" customHeight="1">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ht="48.0" customHeight="1">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ht="48.0" customHeight="1">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ht="48.0" customHeight="1">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ht="48.0" customHeight="1">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ht="48.0" customHeight="1">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ht="48.0" customHeight="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ht="48.0" customHeight="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ht="48.0" customHeight="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ht="48.0" customHeight="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ht="48.0" customHeight="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ht="48.0" customHeight="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ht="48.0" customHeight="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ht="48.0" customHeight="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ht="48.0" customHeight="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ht="48.0" customHeight="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ht="48.0" customHeight="1">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ht="48.0" customHeight="1">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ht="48.0" customHeight="1">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ht="48.0" customHeight="1">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ht="48.0" customHeight="1">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ht="48.0" customHeight="1">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ht="48.0" customHeight="1">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ht="48.0" customHeight="1">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ht="48.0" customHeight="1">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ht="48.0" customHeight="1">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ht="48.0" customHeight="1">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ht="48.0" customHeight="1">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ht="48.0" customHeight="1">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ht="48.0" customHeight="1">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ht="48.0" customHeight="1">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ht="48.0" customHeight="1">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ht="48.0" customHeight="1">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ht="48.0" customHeight="1">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ht="48.0" customHeight="1">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ht="48.0" customHeight="1">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ht="48.0" customHeight="1">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ht="48.0" customHeight="1">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ht="48.0" customHeight="1">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ht="48.0" customHeight="1">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ht="48.0" customHeight="1">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ht="48.0" customHeight="1">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ht="48.0" customHeight="1">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ht="48.0" customHeight="1">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ht="48.0" customHeight="1">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ht="48.0" customHeight="1">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ht="48.0" customHeight="1">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ht="48.0" customHeight="1">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ht="48.0" customHeight="1">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ht="48.0" customHeight="1">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ht="48.0" customHeight="1">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ht="48.0" customHeight="1">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ht="48.0" customHeight="1">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ht="48.0" customHeight="1">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ht="48.0" customHeight="1">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ht="48.0" customHeight="1">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ht="48.0" customHeight="1">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ht="48.0" customHeight="1">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ht="48.0" customHeight="1">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ht="48.0" customHeight="1">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ht="48.0" customHeight="1">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ht="48.0" customHeight="1">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ht="48.0" customHeight="1">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ht="48.0" customHeight="1">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ht="48.0" customHeight="1">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ht="48.0" customHeight="1">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ht="48.0" customHeight="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ht="48.0" customHeight="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ht="48.0" customHeight="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ht="48.0" customHeight="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ht="48.0" customHeight="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ht="15.75"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ht="15.75"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ht="15.75"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ht="15.75"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ht="15.75"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ht="15.75" customHeight="1">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ht="15.75" customHeight="1">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ht="15.75" customHeight="1">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ht="15.75" customHeight="1">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ht="15.75" customHeight="1">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ht="15.75" customHeight="1">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ht="15.75" customHeight="1">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ht="15.75" customHeight="1">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ht="15.75" customHeight="1">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ht="15.75" customHeight="1">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ht="15.75" customHeight="1">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ht="15.75" customHeight="1">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ht="15.75" customHeight="1">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ht="15.75" customHeight="1">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ht="15.75" customHeight="1">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ht="15.75" customHeight="1">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ht="15.75" customHeight="1">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ht="15.75" customHeight="1">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ht="15.75" customHeight="1">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ht="15.75" customHeight="1">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ht="15.75" customHeight="1">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ht="15.75" customHeight="1">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ht="15.75" customHeight="1">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ht="15.75" customHeight="1">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ht="15.75" customHeight="1">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ht="15.75" customHeight="1">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ht="15.75" customHeight="1">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ht="15.75" customHeight="1">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ht="15.75" customHeight="1">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ht="15.75" customHeight="1">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ht="15.75" customHeight="1">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ht="15.75" customHeight="1">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ht="15.75" customHeight="1">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ht="15.75" customHeight="1">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ht="15.75" customHeight="1">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ht="15.75" customHeight="1">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ht="15.75" customHeight="1">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ht="15.75" customHeight="1">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ht="15.75" customHeight="1">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ht="15.75" customHeight="1">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ht="15.75" customHeight="1">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ht="15.75" customHeight="1">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ht="15.75" customHeight="1">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ht="15.75" customHeight="1">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ht="15.75" customHeight="1">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ht="15.75" customHeight="1">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ht="15.75" customHeight="1">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ht="15.75" customHeight="1">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ht="15.75" customHeight="1">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ht="15.75" customHeight="1">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ht="15.75" customHeight="1">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ht="15.75" customHeight="1">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ht="15.75" customHeight="1">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ht="15.75" customHeight="1">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ht="15.75" customHeight="1">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ht="15.75" customHeight="1">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ht="15.75" customHeight="1">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ht="15.75" customHeight="1">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ht="15.75" customHeight="1">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ht="15.75" customHeight="1">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ht="15.75" customHeight="1">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ht="15.75" customHeight="1">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ht="15.75" customHeight="1">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ht="15.75" customHeight="1">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ht="15.75" customHeight="1">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ht="15.75" customHeight="1">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ht="15.75" customHeight="1">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ht="15.75" customHeight="1">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ht="15.75" customHeight="1">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ht="15.75" customHeight="1">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ht="15.75" customHeight="1">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ht="15.75" customHeight="1">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ht="15.75" customHeight="1">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ht="15.75" customHeight="1">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ht="15.75" customHeight="1">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ht="15.75" customHeight="1">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ht="15.75" customHeight="1">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ht="15.75" customHeight="1">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ht="15.75" customHeight="1">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ht="15.75" customHeight="1">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ht="15.75" customHeight="1">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ht="15.75" customHeight="1">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ht="15.75" customHeight="1">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ht="15.75" customHeight="1">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ht="15.75" customHeight="1">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ht="15.75" customHeight="1">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ht="15.75" customHeight="1">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ht="15.75" customHeight="1">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ht="15.75" customHeight="1">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ht="15.75" customHeight="1">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ht="15.75" customHeight="1">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ht="15.75" customHeight="1">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ht="15.75" customHeight="1">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ht="15.75" customHeight="1">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ht="15.75" customHeight="1">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ht="15.75" customHeight="1">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ht="15.75" customHeight="1">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ht="15.75" customHeight="1">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ht="15.75" customHeight="1">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ht="15.75" customHeight="1">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ht="15.75" customHeight="1">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ht="15.75" customHeight="1">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ht="15.75" customHeight="1">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ht="15.75" customHeight="1">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ht="15.75" customHeight="1">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ht="15.75" customHeight="1">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ht="15.75" customHeight="1">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ht="15.75" customHeight="1">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ht="15.75" customHeight="1">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ht="15.75" customHeight="1">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ht="15.75" customHeight="1">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ht="15.75" customHeight="1">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ht="15.75" customHeight="1">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ht="15.75" customHeight="1">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ht="15.75" customHeight="1">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ht="15.75" customHeight="1">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ht="15.75" customHeight="1">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ht="15.75" customHeight="1">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ht="15.75" customHeight="1">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ht="15.75" customHeight="1">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ht="15.75" customHeight="1">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ht="15.75" customHeight="1">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ht="15.75" customHeight="1">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ht="15.75" customHeight="1">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ht="15.75" customHeight="1">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ht="15.75" customHeight="1">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ht="15.75" customHeight="1">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ht="15.75" customHeight="1">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ht="15.75" customHeight="1">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ht="15.75" customHeight="1">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ht="15.75" customHeight="1">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ht="15.75" customHeight="1">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ht="15.75" customHeight="1">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ht="15.75" customHeight="1">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ht="15.75" customHeight="1">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ht="15.75" customHeight="1">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ht="15.75" customHeight="1">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ht="15.75" customHeight="1">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ht="15.75" customHeight="1">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ht="15.75" customHeight="1">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ht="15.75" customHeight="1">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ht="15.75" customHeight="1">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ht="15.75" customHeight="1">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ht="15.75" customHeight="1">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ht="15.75" customHeight="1">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ht="15.75" customHeight="1">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ht="15.75" customHeight="1">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ht="15.75" customHeight="1">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ht="15.75" customHeight="1">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ht="15.75" customHeight="1">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ht="15.75" customHeight="1">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ht="15.75" customHeight="1">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ht="15.75" customHeight="1">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ht="15.75" customHeight="1">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ht="15.75" customHeight="1">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ht="15.75" customHeight="1">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ht="15.75" customHeight="1">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ht="15.75" customHeight="1">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ht="15.75" customHeight="1">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ht="15.75" customHeight="1">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ht="15.75" customHeight="1">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ht="15.75" customHeight="1">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ht="15.75" customHeight="1">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ht="15.75" customHeight="1">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ht="15.75" customHeight="1">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ht="15.75" customHeight="1">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ht="15.75" customHeight="1">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ht="15.75" customHeight="1">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ht="15.75" customHeight="1">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ht="15.75" customHeight="1">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ht="15.75" customHeight="1">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ht="15.75" customHeight="1">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ht="15.75" customHeight="1">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ht="15.75" customHeight="1">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ht="15.75" customHeight="1">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ht="15.75" customHeight="1">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ht="15.75" customHeight="1">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ht="15.75" customHeight="1">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ht="15.75" customHeight="1">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ht="15.75" customHeight="1">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ht="15.75" customHeight="1">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ht="15.75" customHeight="1">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ht="15.75" customHeight="1">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ht="15.75" customHeight="1">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ht="15.75" customHeight="1">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ht="15.75" customHeight="1">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ht="15.75" customHeight="1">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ht="15.75" customHeight="1">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ht="15.75" customHeight="1">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ht="15.75" customHeight="1">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ht="15.75" customHeight="1">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ht="15.75" customHeight="1">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ht="15.75" customHeight="1">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ht="15.75" customHeight="1">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ht="15.75" customHeight="1">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ht="15.75" customHeight="1">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ht="15.75" customHeight="1">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ht="15.75" customHeight="1">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ht="15.75" customHeight="1">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ht="15.75" customHeight="1">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ht="15.75" customHeight="1">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ht="15.75" customHeight="1">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ht="15.75" customHeight="1">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ht="15.75" customHeight="1">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ht="15.75" customHeight="1">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ht="15.75" customHeight="1">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ht="15.75" customHeight="1">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ht="15.75" customHeight="1">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ht="15.75" customHeight="1">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ht="15.75" customHeight="1">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ht="15.75" customHeight="1">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ht="15.75" customHeight="1">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ht="15.75" customHeight="1">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ht="15.75" customHeight="1">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ht="15.75" customHeight="1">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ht="15.75" customHeight="1">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ht="15.75" customHeight="1">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ht="15.75" customHeight="1">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ht="15.75" customHeight="1">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ht="15.75" customHeight="1">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ht="15.75" customHeight="1">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ht="15.75" customHeight="1">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ht="15.75" customHeight="1">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ht="15.75" customHeight="1">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ht="15.75" customHeight="1">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ht="15.75" customHeight="1">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ht="15.75" customHeight="1">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ht="15.75" customHeight="1">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ht="15.75" customHeight="1">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ht="15.75" customHeight="1">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ht="15.75" customHeight="1">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ht="15.75" customHeight="1">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ht="15.75" customHeight="1">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ht="15.75" customHeight="1">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ht="15.75" customHeight="1">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ht="15.75" customHeight="1">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ht="15.75" customHeight="1">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ht="15.75" customHeight="1">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ht="15.75" customHeight="1">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ht="15.75" customHeight="1">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ht="15.75" customHeight="1">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ht="15.75" customHeight="1">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ht="15.75" customHeight="1">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ht="15.75" customHeight="1">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ht="15.75" customHeight="1">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ht="15.75" customHeight="1">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ht="15.75" customHeight="1">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ht="15.75" customHeight="1">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ht="15.75" customHeight="1">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ht="15.75" customHeight="1">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ht="15.75" customHeight="1">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ht="15.75" customHeight="1">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ht="15.75" customHeight="1">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ht="15.75" customHeight="1">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ht="15.75" customHeight="1">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ht="15.75" customHeight="1">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ht="15.75" customHeight="1">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ht="15.75" customHeight="1">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ht="15.75" customHeight="1">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ht="15.75" customHeight="1">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ht="15.75" customHeight="1">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ht="15.75" customHeight="1">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ht="15.75" customHeight="1">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ht="15.75" customHeight="1">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ht="15.75" customHeight="1">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ht="15.75" customHeight="1">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ht="15.75" customHeight="1">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ht="15.75" customHeight="1">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ht="15.75" customHeight="1">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ht="15.75" customHeight="1">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ht="15.75" customHeight="1">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ht="15.75" customHeight="1">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ht="15.75" customHeight="1">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ht="15.75" customHeight="1">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ht="15.75" customHeight="1">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ht="15.75" customHeight="1">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ht="15.75" customHeight="1">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ht="15.75" customHeight="1">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ht="15.75" customHeight="1">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ht="15.75" customHeight="1">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ht="15.75" customHeight="1">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ht="15.75" customHeight="1">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ht="15.75" customHeight="1">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ht="15.75" customHeight="1">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ht="15.75" customHeight="1">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ht="15.75" customHeight="1">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ht="15.75" customHeight="1">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ht="15.75" customHeight="1">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ht="15.75" customHeight="1">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ht="15.75" customHeight="1">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ht="15.75" customHeight="1">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ht="15.75" customHeight="1">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ht="15.75" customHeight="1">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ht="15.75" customHeight="1">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ht="15.75" customHeight="1">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ht="15.75" customHeight="1">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ht="15.75" customHeight="1">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ht="15.75" customHeight="1">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ht="15.75" customHeight="1">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ht="15.75" customHeight="1">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ht="15.75" customHeight="1">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ht="15.75" customHeight="1">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ht="15.75" customHeight="1">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ht="15.75" customHeight="1">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ht="15.75" customHeight="1">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ht="15.75" customHeight="1">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ht="15.75" customHeight="1">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ht="15.75" customHeight="1">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ht="15.75" customHeight="1">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ht="15.75" customHeight="1">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ht="15.75" customHeight="1">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ht="15.75" customHeight="1">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ht="15.75" customHeight="1">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ht="15.75" customHeight="1">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ht="15.75" customHeight="1">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ht="15.75" customHeight="1">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ht="15.75" customHeight="1">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ht="15.75" customHeight="1">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ht="15.75" customHeight="1">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ht="15.75" customHeight="1">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ht="15.75" customHeight="1">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ht="15.75" customHeight="1">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ht="15.75" customHeight="1">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ht="15.75" customHeight="1">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ht="15.75" customHeight="1">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ht="15.75" customHeight="1">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ht="15.75" customHeight="1">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ht="15.75" customHeight="1">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ht="15.75" customHeight="1">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ht="15.75" customHeight="1">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ht="15.75" customHeight="1">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ht="15.75" customHeight="1">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ht="15.75" customHeight="1">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ht="15.75" customHeight="1">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ht="15.75" customHeight="1">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ht="15.75" customHeight="1">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ht="15.75" customHeight="1">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ht="15.75" customHeight="1">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ht="15.75" customHeight="1">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ht="15.75" customHeight="1">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ht="15.75" customHeight="1">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ht="15.75" customHeight="1">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ht="15.75" customHeight="1">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ht="15.75" customHeight="1">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ht="15.75" customHeight="1">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ht="15.75" customHeight="1">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ht="15.75" customHeight="1">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ht="15.75" customHeight="1">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ht="15.75" customHeight="1">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ht="15.75" customHeight="1">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ht="15.75" customHeight="1">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ht="15.75" customHeight="1">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ht="15.75" customHeight="1">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ht="15.75" customHeight="1">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ht="15.75" customHeight="1">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ht="15.75" customHeight="1">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ht="15.75" customHeight="1">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ht="15.75" customHeight="1">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ht="15.75" customHeight="1">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ht="15.75" customHeight="1">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ht="15.75" customHeight="1">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ht="15.75" customHeight="1">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ht="15.75" customHeight="1">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ht="15.75" customHeight="1">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ht="15.75" customHeight="1">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ht="15.75" customHeight="1">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ht="15.75" customHeight="1">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ht="15.75" customHeight="1">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ht="15.75" customHeight="1">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ht="15.75" customHeight="1">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ht="15.75" customHeight="1">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ht="15.75" customHeight="1">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ht="15.75" customHeight="1">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ht="15.75" customHeight="1">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ht="15.75" customHeight="1">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ht="15.75" customHeight="1">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ht="15.75" customHeight="1">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ht="15.75" customHeight="1">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ht="15.75" customHeight="1">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ht="15.75" customHeight="1">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ht="15.75" customHeight="1">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ht="15.75" customHeight="1">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ht="15.75" customHeight="1">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ht="15.75" customHeight="1">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ht="15.75" customHeight="1">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ht="15.75" customHeight="1">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ht="15.75" customHeight="1">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ht="15.75" customHeight="1">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ht="15.75" customHeight="1">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ht="15.75" customHeight="1">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ht="15.75" customHeight="1">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ht="15.75" customHeight="1">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ht="15.75" customHeight="1">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ht="15.75" customHeight="1">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ht="15.75" customHeight="1">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ht="15.75" customHeight="1">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ht="15.75" customHeight="1">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ht="15.75" customHeight="1">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ht="15.75" customHeight="1">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ht="15.75" customHeight="1">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ht="15.75" customHeight="1">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ht="15.75" customHeight="1">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ht="15.75" customHeight="1">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ht="15.75" customHeight="1">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ht="15.75" customHeight="1">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ht="15.75" customHeight="1">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ht="15.75" customHeight="1">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ht="15.75" customHeight="1">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ht="15.75" customHeight="1">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ht="15.75" customHeight="1">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ht="15.75" customHeight="1">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ht="15.75" customHeight="1">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ht="15.75" customHeight="1">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ht="15.75" customHeight="1">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ht="15.75" customHeight="1">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ht="15.75" customHeight="1">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ht="15.75" customHeight="1">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ht="15.75" customHeight="1">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ht="15.75" customHeight="1">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ht="15.75" customHeight="1">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ht="15.75" customHeight="1">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ht="15.75" customHeight="1">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ht="15.75" customHeight="1">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ht="15.75" customHeight="1">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ht="15.75" customHeight="1">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ht="15.75" customHeight="1">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ht="15.75" customHeight="1">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ht="15.75" customHeight="1">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ht="15.75" customHeight="1">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ht="15.75" customHeight="1">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ht="15.75" customHeight="1">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ht="15.75" customHeight="1">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ht="15.75" customHeight="1">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ht="15.75" customHeight="1">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ht="15.75" customHeight="1">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ht="15.75" customHeight="1">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ht="15.75" customHeight="1">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ht="15.75" customHeight="1">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ht="15.75" customHeight="1">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ht="15.75" customHeight="1">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ht="15.75" customHeight="1">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ht="15.75" customHeight="1">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ht="15.75" customHeight="1">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ht="15.75" customHeight="1">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ht="15.75" customHeight="1">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ht="15.75" customHeight="1">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ht="15.75" customHeight="1">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ht="15.75" customHeight="1">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ht="15.75" customHeight="1">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ht="15.75" customHeight="1">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ht="15.75" customHeight="1">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ht="15.75" customHeight="1">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ht="15.75" customHeight="1">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ht="15.75" customHeight="1">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ht="15.75" customHeight="1">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ht="15.75" customHeight="1">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ht="15.75" customHeight="1">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ht="15.75" customHeight="1">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ht="15.75" customHeight="1">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ht="15.75" customHeight="1">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ht="15.75" customHeight="1">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ht="15.75" customHeight="1">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ht="15.75" customHeight="1">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ht="15.75" customHeight="1">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ht="15.75" customHeight="1">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ht="15.75" customHeight="1">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ht="15.75" customHeight="1">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ht="15.75" customHeight="1">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ht="15.75" customHeight="1">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ht="15.75" customHeight="1">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ht="15.75" customHeight="1">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ht="15.75" customHeight="1">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ht="15.75" customHeight="1">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ht="15.75" customHeight="1">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ht="15.75" customHeight="1">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ht="15.75" customHeight="1">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ht="15.75" customHeight="1">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ht="15.75" customHeight="1">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ht="15.75" customHeight="1">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ht="15.75" customHeight="1">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ht="15.75" customHeight="1">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ht="15.75" customHeight="1">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ht="15.75" customHeight="1">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ht="15.75" customHeight="1">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ht="15.75" customHeight="1">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ht="15.75" customHeight="1">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ht="15.75" customHeight="1">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ht="15.75" customHeight="1">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ht="15.75" customHeight="1">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ht="15.75" customHeight="1">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ht="15.75" customHeight="1">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ht="15.75" customHeight="1">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ht="15.75" customHeight="1">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ht="15.75" customHeight="1">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ht="15.75" customHeight="1">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ht="15.75" customHeight="1">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ht="15.75" customHeight="1">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ht="15.75" customHeight="1">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ht="15.75" customHeight="1">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ht="15.75" customHeight="1">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ht="15.75" customHeight="1">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ht="15.75" customHeight="1">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ht="15.75" customHeight="1">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ht="15.75" customHeight="1">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ht="15.75" customHeight="1">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ht="15.75" customHeight="1">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ht="15.75" customHeight="1">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ht="15.75" customHeight="1">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ht="15.75" customHeight="1">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ht="15.75" customHeight="1">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ht="15.75" customHeight="1">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ht="15.75" customHeight="1">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ht="15.75" customHeight="1">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ht="15.75" customHeight="1">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ht="15.75" customHeight="1">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ht="15.75" customHeight="1">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ht="15.75" customHeight="1">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ht="15.75" customHeight="1">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ht="15.75" customHeight="1">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ht="15.75" customHeight="1">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ht="15.75" customHeight="1">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ht="15.75" customHeight="1">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ht="15.75" customHeight="1">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ht="15.75" customHeight="1">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ht="15.75" customHeight="1">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ht="15.75" customHeight="1">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ht="15.75" customHeight="1">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ht="15.75" customHeight="1">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ht="15.75" customHeight="1">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ht="15.75" customHeight="1">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ht="15.75" customHeight="1">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ht="15.75" customHeight="1">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ht="15.75" customHeight="1">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ht="15.75" customHeight="1">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ht="15.75" customHeight="1">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ht="15.75" customHeight="1">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ht="15.75" customHeight="1">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ht="15.75" customHeight="1">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ht="15.75" customHeight="1">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ht="15.75" customHeight="1">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ht="15.75" customHeight="1">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ht="15.75" customHeight="1">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ht="15.75" customHeight="1">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ht="15.75" customHeight="1">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ht="15.75" customHeight="1">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ht="15.75" customHeight="1">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ht="15.75" customHeight="1">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ht="15.75" customHeight="1">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ht="15.75" customHeight="1">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ht="15.75" customHeight="1">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ht="15.75" customHeight="1">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ht="15.75" customHeight="1">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ht="15.75" customHeight="1">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ht="15.75" customHeight="1">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ht="15.75" customHeight="1">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ht="15.75" customHeight="1">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ht="15.75" customHeight="1">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ht="15.75" customHeight="1">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ht="15.75" customHeight="1">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ht="15.75" customHeight="1">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ht="15.75" customHeight="1">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ht="15.75" customHeight="1">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ht="15.75" customHeight="1">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ht="15.75" customHeight="1">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ht="15.75" customHeight="1">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ht="15.75" customHeight="1">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ht="15.75" customHeight="1">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ht="15.75" customHeight="1">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ht="15.75" customHeight="1">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ht="15.75" customHeight="1">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ht="15.75" customHeight="1">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ht="15.75" customHeight="1">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ht="15.75" customHeight="1">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ht="15.75" customHeight="1">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ht="15.75" customHeight="1">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ht="15.75" customHeight="1">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ht="15.75" customHeight="1">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ht="15.75" customHeight="1">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ht="15.75" customHeight="1">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ht="15.75" customHeight="1">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ht="15.75" customHeight="1">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ht="15.75" customHeight="1">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ht="15.75" customHeight="1">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ht="15.75" customHeight="1">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ht="15.75" customHeight="1">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ht="15.75" customHeight="1">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ht="15.75" customHeight="1">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ht="15.75" customHeight="1">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ht="15.75" customHeight="1">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ht="15.75" customHeight="1">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ht="15.75" customHeight="1">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ht="15.75" customHeight="1">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ht="15.75" customHeight="1">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ht="15.75" customHeight="1">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ht="15.75" customHeight="1">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ht="15.75" customHeight="1">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ht="15.75" customHeight="1">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ht="15.75" customHeight="1">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ht="15.75" customHeight="1">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ht="15.75" customHeight="1">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ht="15.75" customHeight="1">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ht="15.75" customHeight="1">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ht="15.75" customHeight="1">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ht="15.75" customHeight="1">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ht="15.75" customHeight="1">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ht="15.75" customHeight="1">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ht="15.75" customHeight="1">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ht="15.75" customHeight="1">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ht="15.75" customHeight="1">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ht="15.75" customHeight="1">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ht="15.75" customHeight="1">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ht="15.75" customHeight="1">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ht="15.75" customHeight="1">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ht="15.75" customHeight="1">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ht="15.75" customHeight="1">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ht="15.75" customHeight="1">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ht="15.75" customHeight="1">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ht="15.75" customHeight="1">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ht="15.75" customHeight="1">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ht="15.75" customHeight="1">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ht="15.75" customHeight="1">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ht="15.75" customHeight="1">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ht="15.75" customHeight="1">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ht="15.75" customHeight="1">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ht="15.75" customHeight="1">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ht="15.75" customHeight="1">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ht="15.75" customHeight="1">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ht="15.75" customHeight="1">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ht="15.75" customHeight="1">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ht="15.75" customHeight="1">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ht="15.75" customHeight="1">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ht="15.75" customHeight="1">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ht="15.75" customHeight="1">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ht="15.75" customHeight="1">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ht="15.75" customHeight="1">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ht="15.75" customHeight="1">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ht="15.75" customHeight="1">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ht="15.75" customHeight="1">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ht="15.75" customHeight="1">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ht="15.75" customHeight="1">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ht="15.75" customHeight="1">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ht="15.75" customHeight="1">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ht="15.75" customHeight="1">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ht="15.75" customHeight="1">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ht="15.75" customHeight="1">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ht="15.75" customHeight="1">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ht="15.75" customHeight="1">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ht="15.75" customHeight="1">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ht="15.75" customHeight="1">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ht="15.75" customHeight="1">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ht="15.75" customHeight="1">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ht="15.75" customHeight="1">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ht="15.75" customHeight="1">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ht="15.75" customHeight="1">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ht="15.75" customHeight="1">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ht="15.75" customHeight="1">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ht="15.75" customHeight="1">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ht="15.75" customHeight="1">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ht="15.75" customHeight="1">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ht="15.75" customHeight="1">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ht="15.75" customHeight="1">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ht="15.75" customHeight="1">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ht="15.75" customHeight="1">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ht="15.75" customHeight="1">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ht="15.75" customHeight="1">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ht="15.75" customHeight="1">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ht="15.75" customHeight="1">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ht="15.75" customHeight="1">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ht="15.75" customHeight="1">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ht="15.75" customHeight="1">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ht="15.75" customHeight="1">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ht="15.75" customHeight="1">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ht="15.75" customHeight="1">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ht="15.75" customHeight="1">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ht="15.75" customHeight="1">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ht="15.75" customHeight="1">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ht="15.75" customHeight="1">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ht="15.75" customHeight="1">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ht="15.75" customHeight="1">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ht="15.75" customHeight="1">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ht="15.75" customHeight="1">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ht="15.75" customHeight="1">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ht="15.75" customHeight="1">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ht="15.75" customHeight="1">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ht="15.75" customHeight="1">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ht="15.75" customHeight="1">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ht="15.75" customHeight="1">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ht="15.75" customHeight="1">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ht="15.75" customHeight="1">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ht="15.75" customHeight="1">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ht="15.75" customHeight="1">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ht="15.75" customHeight="1">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ht="15.75" customHeight="1">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ht="15.75" customHeight="1">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ht="15.75" customHeight="1">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ht="15.75" customHeight="1">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ht="15.75" customHeight="1">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ht="15.75" customHeight="1">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ht="15.75" customHeight="1">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ht="15.75" customHeight="1">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ht="15.75" customHeight="1">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ht="15.75" customHeight="1">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ht="15.75" customHeight="1">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ht="15.75" customHeight="1">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ht="15.75" customHeight="1">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ht="15.75" customHeight="1">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ht="15.75" customHeight="1">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ht="15.75" customHeight="1">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ht="15.75" customHeight="1">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ht="15.75" customHeight="1">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105">
    <mergeCell ref="D38:F38"/>
    <mergeCell ref="B38:C38"/>
    <mergeCell ref="F3:H3"/>
    <mergeCell ref="B3:C3"/>
    <mergeCell ref="D7:H7"/>
    <mergeCell ref="A8:C8"/>
    <mergeCell ref="A2:H2"/>
    <mergeCell ref="A1:G1"/>
    <mergeCell ref="F4:H4"/>
    <mergeCell ref="F5:H5"/>
    <mergeCell ref="F6:H6"/>
    <mergeCell ref="B6:C6"/>
    <mergeCell ref="D41:F41"/>
    <mergeCell ref="D43:F43"/>
    <mergeCell ref="B43:C43"/>
    <mergeCell ref="D44:F44"/>
    <mergeCell ref="D46:F46"/>
    <mergeCell ref="D45:F45"/>
    <mergeCell ref="D42:F42"/>
    <mergeCell ref="B39:C39"/>
    <mergeCell ref="D37:F37"/>
    <mergeCell ref="D35:F35"/>
    <mergeCell ref="D36:F36"/>
    <mergeCell ref="A33:G33"/>
    <mergeCell ref="D34:F34"/>
    <mergeCell ref="D40:F40"/>
    <mergeCell ref="D39:F39"/>
    <mergeCell ref="B79:C79"/>
    <mergeCell ref="D79:F79"/>
    <mergeCell ref="D83:F83"/>
    <mergeCell ref="D84:F84"/>
    <mergeCell ref="B82:C82"/>
    <mergeCell ref="D82:F82"/>
    <mergeCell ref="B84:C84"/>
    <mergeCell ref="B80:C80"/>
    <mergeCell ref="B85:C85"/>
    <mergeCell ref="B83:C83"/>
    <mergeCell ref="B77:C77"/>
    <mergeCell ref="D77:F77"/>
    <mergeCell ref="D85:F85"/>
    <mergeCell ref="D80:F80"/>
    <mergeCell ref="D55:F55"/>
    <mergeCell ref="D57:F57"/>
    <mergeCell ref="D56:F56"/>
    <mergeCell ref="D50:F50"/>
    <mergeCell ref="D47:F47"/>
    <mergeCell ref="D48:F48"/>
    <mergeCell ref="D49:F49"/>
    <mergeCell ref="D54:F54"/>
    <mergeCell ref="D53:F53"/>
    <mergeCell ref="D52:F52"/>
    <mergeCell ref="D51:F51"/>
    <mergeCell ref="B36:C36"/>
    <mergeCell ref="B37:C37"/>
    <mergeCell ref="B5:C5"/>
    <mergeCell ref="B4:C4"/>
    <mergeCell ref="B34:C34"/>
    <mergeCell ref="B35:C35"/>
    <mergeCell ref="B73:C73"/>
    <mergeCell ref="B74:C74"/>
    <mergeCell ref="B75:C75"/>
    <mergeCell ref="B72:C72"/>
    <mergeCell ref="B69:C69"/>
    <mergeCell ref="B68:C68"/>
    <mergeCell ref="B67:C67"/>
    <mergeCell ref="B70:C70"/>
    <mergeCell ref="B63:C63"/>
    <mergeCell ref="B62:C62"/>
    <mergeCell ref="D61:F61"/>
    <mergeCell ref="D62:F62"/>
    <mergeCell ref="D63:F63"/>
    <mergeCell ref="D59:F59"/>
    <mergeCell ref="D60:F60"/>
    <mergeCell ref="D58:F58"/>
    <mergeCell ref="B56:C56"/>
    <mergeCell ref="B57:C57"/>
    <mergeCell ref="B58:C58"/>
    <mergeCell ref="B59:C59"/>
    <mergeCell ref="B60:C60"/>
    <mergeCell ref="B61:C61"/>
    <mergeCell ref="B65:C65"/>
    <mergeCell ref="B46:C46"/>
    <mergeCell ref="B47:C47"/>
    <mergeCell ref="B48:C48"/>
    <mergeCell ref="B42:C42"/>
    <mergeCell ref="B41:C41"/>
    <mergeCell ref="B40:C40"/>
    <mergeCell ref="B45:C45"/>
    <mergeCell ref="B44:C44"/>
    <mergeCell ref="B51:C51"/>
    <mergeCell ref="B52:C52"/>
    <mergeCell ref="B55:C55"/>
    <mergeCell ref="B53:C53"/>
    <mergeCell ref="B54:C54"/>
    <mergeCell ref="B50:C50"/>
    <mergeCell ref="B49:C49"/>
    <mergeCell ref="D70:F70"/>
    <mergeCell ref="D69:F69"/>
    <mergeCell ref="D73:F73"/>
    <mergeCell ref="D68:F68"/>
    <mergeCell ref="D65:F65"/>
    <mergeCell ref="D67:F67"/>
    <mergeCell ref="D75:F75"/>
    <mergeCell ref="D74:F74"/>
    <mergeCell ref="D72:F72"/>
  </mergeCell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0070C0"/>
    <pageSetUpPr/>
  </sheetPr>
  <sheetViews>
    <sheetView workbookViewId="0"/>
  </sheetViews>
  <sheetFormatPr customHeight="1" defaultColWidth="11.22" defaultRowHeight="15.0"/>
  <cols>
    <col customWidth="1" min="1" max="1" width="14.0"/>
    <col customWidth="1" min="2" max="2" width="8.78"/>
    <col customWidth="1" min="3" max="3" width="36.11"/>
    <col customWidth="1" min="4" max="4" width="14.22"/>
    <col customWidth="1" min="5" max="5" width="11.44"/>
    <col customWidth="1" min="6" max="6" width="8.67"/>
    <col customWidth="1" min="7" max="7" width="13.44"/>
    <col customWidth="1" min="8" max="8" width="24.22"/>
    <col customWidth="1" min="9" max="26" width="8.67"/>
  </cols>
  <sheetData>
    <row r="1" ht="36.0" customHeight="1">
      <c r="A1" s="160" t="s">
        <v>2235</v>
      </c>
      <c r="B1" s="2"/>
      <c r="C1" s="2"/>
      <c r="D1" s="2"/>
      <c r="E1" s="2"/>
      <c r="F1" s="2"/>
      <c r="G1" s="114"/>
      <c r="H1" s="162" t="str">
        <f>HECVAT!E1</f>
        <v>Version 2.0</v>
      </c>
      <c r="I1" s="19"/>
      <c r="J1" s="19"/>
      <c r="K1" s="19"/>
      <c r="L1" s="19"/>
      <c r="M1" s="19"/>
      <c r="N1" s="19"/>
      <c r="O1" s="19"/>
      <c r="P1" s="19"/>
      <c r="Q1" s="19"/>
      <c r="R1" s="19"/>
      <c r="S1" s="19"/>
      <c r="T1" s="19"/>
      <c r="U1" s="19"/>
      <c r="V1" s="19"/>
      <c r="W1" s="19"/>
      <c r="X1" s="19"/>
      <c r="Y1" s="19"/>
      <c r="Z1" s="19"/>
    </row>
    <row r="2" ht="25.5" customHeight="1">
      <c r="A2" s="163"/>
      <c r="B2" s="2"/>
      <c r="C2" s="2"/>
      <c r="D2" s="2"/>
      <c r="E2" s="2"/>
      <c r="F2" s="2"/>
      <c r="G2" s="2"/>
      <c r="H2" s="3"/>
      <c r="I2" s="19"/>
      <c r="J2" s="19"/>
      <c r="K2" s="19"/>
      <c r="L2" s="19"/>
      <c r="M2" s="19"/>
      <c r="N2" s="19"/>
      <c r="O2" s="19"/>
      <c r="P2" s="19"/>
      <c r="Q2" s="19"/>
      <c r="R2" s="19"/>
      <c r="S2" s="19"/>
      <c r="T2" s="19"/>
      <c r="U2" s="19"/>
      <c r="V2" s="19"/>
      <c r="W2" s="19"/>
      <c r="X2" s="19"/>
      <c r="Y2" s="19"/>
      <c r="Z2" s="19"/>
    </row>
    <row r="3" ht="36.0" customHeight="1">
      <c r="A3" s="25" t="s">
        <v>2313</v>
      </c>
      <c r="B3" s="22" t="str">
        <f>HECVAT!C7</f>
        <v>Ivy.ai, Inc.</v>
      </c>
      <c r="C3" s="3"/>
      <c r="D3" s="25" t="s">
        <v>2320</v>
      </c>
      <c r="E3" s="22" t="str">
        <f>HECVAT!C8</f>
        <v>Ivy</v>
      </c>
      <c r="F3" s="2"/>
      <c r="G3" s="2"/>
      <c r="H3" s="3"/>
      <c r="I3" s="141"/>
      <c r="J3" s="141"/>
      <c r="K3" s="141"/>
      <c r="L3" s="141"/>
      <c r="M3" s="141"/>
      <c r="N3" s="141"/>
      <c r="O3" s="141"/>
      <c r="P3" s="141"/>
      <c r="Q3" s="141"/>
      <c r="R3" s="141"/>
      <c r="S3" s="141"/>
      <c r="T3" s="141"/>
      <c r="U3" s="141"/>
      <c r="V3" s="141"/>
      <c r="W3" s="141"/>
      <c r="X3" s="141"/>
      <c r="Y3" s="141"/>
      <c r="Z3" s="141"/>
    </row>
    <row r="4" ht="48.0" customHeight="1">
      <c r="A4" s="116" t="s">
        <v>2321</v>
      </c>
      <c r="B4" s="166" t="str">
        <f>HECVAT!C9</f>
        <v>Artificially Intelligent Chatbot</v>
      </c>
      <c r="C4" s="2"/>
      <c r="D4" s="2"/>
      <c r="E4" s="2"/>
      <c r="F4" s="2"/>
      <c r="G4" s="2"/>
      <c r="H4" s="3"/>
      <c r="I4" s="19"/>
      <c r="J4" s="19"/>
      <c r="K4" s="19"/>
      <c r="L4" s="19"/>
      <c r="M4" s="19"/>
      <c r="N4" s="19"/>
      <c r="O4" s="19"/>
      <c r="P4" s="19"/>
      <c r="Q4" s="19"/>
      <c r="R4" s="19"/>
      <c r="S4" s="19"/>
      <c r="T4" s="19"/>
      <c r="U4" s="19"/>
      <c r="V4" s="19"/>
      <c r="W4" s="19"/>
      <c r="X4" s="19"/>
      <c r="Y4" s="19"/>
      <c r="Z4" s="19"/>
    </row>
    <row r="5" ht="36.0" customHeight="1">
      <c r="A5" s="168"/>
      <c r="B5" s="170"/>
      <c r="C5" s="170"/>
      <c r="D5" s="173" t="s">
        <v>2334</v>
      </c>
      <c r="E5" s="3"/>
      <c r="F5" s="170"/>
      <c r="G5" s="170"/>
      <c r="H5" s="175"/>
      <c r="I5" s="19"/>
      <c r="J5" s="19"/>
      <c r="K5" s="19"/>
      <c r="L5" s="19"/>
      <c r="M5" s="19"/>
      <c r="N5" s="19"/>
      <c r="O5" s="19"/>
      <c r="P5" s="19"/>
      <c r="Q5" s="19"/>
      <c r="R5" s="19"/>
      <c r="S5" s="19"/>
      <c r="T5" s="19"/>
      <c r="U5" s="19"/>
      <c r="V5" s="19"/>
      <c r="W5" s="19"/>
      <c r="X5" s="19"/>
      <c r="Y5" s="19"/>
      <c r="Z5" s="19"/>
    </row>
    <row r="6" ht="36.0" customHeight="1">
      <c r="A6" s="177"/>
      <c r="B6" s="164"/>
      <c r="C6" s="164"/>
      <c r="D6" s="178" t="str">
        <f>Questions!W23</f>
        <v>#N/A</v>
      </c>
      <c r="E6" s="179" t="str">
        <f>Questions!X23</f>
        <v>#N/A</v>
      </c>
      <c r="F6" s="164"/>
      <c r="G6" s="164"/>
      <c r="H6" s="181"/>
      <c r="I6" s="32"/>
      <c r="J6" s="32"/>
      <c r="K6" s="32"/>
      <c r="L6" s="32"/>
      <c r="M6" s="32"/>
      <c r="N6" s="32"/>
      <c r="O6" s="32"/>
      <c r="P6" s="32"/>
      <c r="Q6" s="32"/>
      <c r="R6" s="32"/>
      <c r="S6" s="32"/>
      <c r="T6" s="32"/>
      <c r="U6" s="32"/>
      <c r="V6" s="32"/>
      <c r="W6" s="32"/>
      <c r="X6" s="32"/>
      <c r="Y6" s="32"/>
      <c r="Z6" s="32"/>
    </row>
    <row r="7" ht="15.75" customHeight="1">
      <c r="A7" s="182"/>
      <c r="B7" s="32"/>
      <c r="C7" s="32"/>
      <c r="D7" s="32"/>
      <c r="E7" s="32"/>
      <c r="F7" s="32"/>
      <c r="G7" s="32"/>
      <c r="H7" s="183"/>
      <c r="I7" s="32"/>
      <c r="J7" s="32"/>
      <c r="K7" s="32"/>
      <c r="L7" s="32"/>
      <c r="M7" s="32"/>
      <c r="N7" s="32"/>
      <c r="O7" s="32"/>
      <c r="P7" s="32"/>
      <c r="Q7" s="32"/>
      <c r="R7" s="32"/>
      <c r="S7" s="32"/>
      <c r="T7" s="32"/>
      <c r="U7" s="32"/>
      <c r="V7" s="32"/>
      <c r="W7" s="32"/>
      <c r="X7" s="32"/>
      <c r="Y7" s="32"/>
      <c r="Z7" s="32"/>
    </row>
    <row r="8" ht="15.75" customHeight="1">
      <c r="A8" s="182"/>
      <c r="B8" s="32"/>
      <c r="C8" s="32"/>
      <c r="D8" s="32"/>
      <c r="E8" s="32"/>
      <c r="F8" s="32"/>
      <c r="G8" s="32"/>
      <c r="H8" s="183"/>
      <c r="I8" s="32"/>
      <c r="J8" s="32"/>
      <c r="K8" s="32"/>
      <c r="L8" s="32"/>
      <c r="M8" s="32"/>
      <c r="N8" s="32"/>
      <c r="O8" s="32"/>
      <c r="P8" s="32"/>
      <c r="Q8" s="32"/>
      <c r="R8" s="32"/>
      <c r="S8" s="32"/>
      <c r="T8" s="32"/>
      <c r="U8" s="32"/>
      <c r="V8" s="32"/>
      <c r="W8" s="32"/>
      <c r="X8" s="32"/>
      <c r="Y8" s="32"/>
      <c r="Z8" s="32"/>
    </row>
    <row r="9" ht="15.75" customHeight="1">
      <c r="A9" s="182"/>
      <c r="B9" s="32"/>
      <c r="C9" s="32"/>
      <c r="D9" s="32"/>
      <c r="E9" s="32"/>
      <c r="F9" s="32"/>
      <c r="G9" s="32"/>
      <c r="H9" s="183"/>
      <c r="I9" s="32"/>
      <c r="J9" s="32"/>
      <c r="K9" s="32"/>
      <c r="L9" s="32"/>
      <c r="M9" s="32"/>
      <c r="N9" s="32"/>
      <c r="O9" s="32"/>
      <c r="P9" s="32"/>
      <c r="Q9" s="32"/>
      <c r="R9" s="32"/>
      <c r="S9" s="32"/>
      <c r="T9" s="32"/>
      <c r="U9" s="32"/>
      <c r="V9" s="32"/>
      <c r="W9" s="32"/>
      <c r="X9" s="32"/>
      <c r="Y9" s="32"/>
      <c r="Z9" s="32"/>
    </row>
    <row r="10" ht="15.75" customHeight="1">
      <c r="A10" s="182"/>
      <c r="B10" s="32"/>
      <c r="C10" s="32"/>
      <c r="D10" s="32"/>
      <c r="E10" s="32"/>
      <c r="F10" s="32"/>
      <c r="G10" s="32"/>
      <c r="H10" s="183"/>
      <c r="I10" s="32"/>
      <c r="J10" s="32"/>
      <c r="K10" s="32"/>
      <c r="L10" s="32"/>
      <c r="M10" s="32"/>
      <c r="N10" s="32"/>
      <c r="O10" s="32"/>
      <c r="P10" s="32"/>
      <c r="Q10" s="32"/>
      <c r="R10" s="32"/>
      <c r="S10" s="32"/>
      <c r="T10" s="32"/>
      <c r="U10" s="32"/>
      <c r="V10" s="32"/>
      <c r="W10" s="32"/>
      <c r="X10" s="32"/>
      <c r="Y10" s="32"/>
      <c r="Z10" s="32"/>
    </row>
    <row r="11" ht="15.75" customHeight="1">
      <c r="A11" s="182"/>
      <c r="B11" s="32"/>
      <c r="C11" s="32"/>
      <c r="D11" s="32"/>
      <c r="E11" s="32"/>
      <c r="F11" s="32"/>
      <c r="G11" s="32"/>
      <c r="H11" s="183"/>
      <c r="I11" s="32"/>
      <c r="J11" s="32"/>
      <c r="K11" s="32"/>
      <c r="L11" s="32"/>
      <c r="M11" s="32"/>
      <c r="N11" s="32"/>
      <c r="O11" s="32"/>
      <c r="P11" s="32"/>
      <c r="Q11" s="32"/>
      <c r="R11" s="32"/>
      <c r="S11" s="32"/>
      <c r="T11" s="32"/>
      <c r="U11" s="32"/>
      <c r="V11" s="32"/>
      <c r="W11" s="32"/>
      <c r="X11" s="32"/>
      <c r="Y11" s="32"/>
      <c r="Z11" s="32"/>
    </row>
    <row r="12" ht="15.75" customHeight="1">
      <c r="A12" s="182"/>
      <c r="B12" s="32"/>
      <c r="C12" s="32"/>
      <c r="D12" s="32"/>
      <c r="E12" s="32"/>
      <c r="F12" s="32"/>
      <c r="G12" s="32"/>
      <c r="H12" s="183"/>
      <c r="I12" s="32"/>
      <c r="J12" s="32"/>
      <c r="K12" s="32"/>
      <c r="L12" s="32"/>
      <c r="M12" s="32"/>
      <c r="N12" s="32"/>
      <c r="O12" s="32"/>
      <c r="P12" s="32"/>
      <c r="Q12" s="32"/>
      <c r="R12" s="32"/>
      <c r="S12" s="32"/>
      <c r="T12" s="32"/>
      <c r="U12" s="32"/>
      <c r="V12" s="32"/>
      <c r="W12" s="32"/>
      <c r="X12" s="32"/>
      <c r="Y12" s="32"/>
      <c r="Z12" s="32"/>
    </row>
    <row r="13" ht="15.75" customHeight="1">
      <c r="A13" s="182"/>
      <c r="B13" s="32"/>
      <c r="C13" s="32"/>
      <c r="D13" s="32"/>
      <c r="E13" s="32"/>
      <c r="F13" s="32"/>
      <c r="G13" s="32"/>
      <c r="H13" s="183"/>
      <c r="I13" s="32"/>
      <c r="J13" s="32"/>
      <c r="K13" s="32"/>
      <c r="L13" s="32"/>
      <c r="M13" s="32"/>
      <c r="N13" s="32"/>
      <c r="O13" s="32"/>
      <c r="P13" s="32"/>
      <c r="Q13" s="32"/>
      <c r="R13" s="32"/>
      <c r="S13" s="32"/>
      <c r="T13" s="32"/>
      <c r="U13" s="32"/>
      <c r="V13" s="32"/>
      <c r="W13" s="32"/>
      <c r="X13" s="32"/>
      <c r="Y13" s="32"/>
      <c r="Z13" s="32"/>
    </row>
    <row r="14" ht="15.75" customHeight="1">
      <c r="A14" s="182"/>
      <c r="B14" s="32"/>
      <c r="C14" s="32"/>
      <c r="D14" s="32"/>
      <c r="E14" s="32"/>
      <c r="F14" s="32"/>
      <c r="G14" s="32"/>
      <c r="H14" s="183"/>
      <c r="I14" s="32"/>
      <c r="J14" s="32"/>
      <c r="K14" s="32"/>
      <c r="L14" s="32"/>
      <c r="M14" s="32"/>
      <c r="N14" s="32"/>
      <c r="O14" s="32"/>
      <c r="P14" s="32"/>
      <c r="Q14" s="32"/>
      <c r="R14" s="32"/>
      <c r="S14" s="32"/>
      <c r="T14" s="32"/>
      <c r="U14" s="32"/>
      <c r="V14" s="32"/>
      <c r="W14" s="32"/>
      <c r="X14" s="32"/>
      <c r="Y14" s="32"/>
      <c r="Z14" s="32"/>
    </row>
    <row r="15" ht="15.75" customHeight="1">
      <c r="A15" s="182"/>
      <c r="B15" s="32"/>
      <c r="C15" s="32"/>
      <c r="D15" s="32"/>
      <c r="E15" s="32"/>
      <c r="F15" s="32"/>
      <c r="G15" s="32"/>
      <c r="H15" s="183"/>
      <c r="I15" s="32"/>
      <c r="J15" s="32"/>
      <c r="K15" s="32"/>
      <c r="L15" s="32"/>
      <c r="M15" s="32"/>
      <c r="N15" s="32"/>
      <c r="O15" s="32"/>
      <c r="P15" s="32"/>
      <c r="Q15" s="32"/>
      <c r="R15" s="32"/>
      <c r="S15" s="32"/>
      <c r="T15" s="32"/>
      <c r="U15" s="32"/>
      <c r="V15" s="32"/>
      <c r="W15" s="32"/>
      <c r="X15" s="32"/>
      <c r="Y15" s="32"/>
      <c r="Z15" s="32"/>
    </row>
    <row r="16" ht="15.75" customHeight="1">
      <c r="A16" s="182"/>
      <c r="B16" s="32"/>
      <c r="C16" s="32"/>
      <c r="D16" s="32"/>
      <c r="E16" s="32"/>
      <c r="F16" s="32"/>
      <c r="G16" s="32"/>
      <c r="H16" s="183"/>
      <c r="I16" s="32"/>
      <c r="J16" s="32"/>
      <c r="K16" s="32"/>
      <c r="L16" s="32"/>
      <c r="M16" s="32"/>
      <c r="N16" s="32"/>
      <c r="O16" s="32"/>
      <c r="P16" s="32"/>
      <c r="Q16" s="32"/>
      <c r="R16" s="32"/>
      <c r="S16" s="32"/>
      <c r="T16" s="32"/>
      <c r="U16" s="32"/>
      <c r="V16" s="32"/>
      <c r="W16" s="32"/>
      <c r="X16" s="32"/>
      <c r="Y16" s="32"/>
      <c r="Z16" s="32"/>
    </row>
    <row r="17" ht="15.75" customHeight="1">
      <c r="A17" s="182"/>
      <c r="B17" s="32"/>
      <c r="C17" s="32"/>
      <c r="D17" s="32"/>
      <c r="E17" s="32"/>
      <c r="F17" s="32"/>
      <c r="G17" s="32"/>
      <c r="H17" s="183"/>
      <c r="I17" s="32"/>
      <c r="J17" s="32"/>
      <c r="K17" s="32"/>
      <c r="L17" s="32"/>
      <c r="M17" s="32"/>
      <c r="N17" s="32"/>
      <c r="O17" s="32"/>
      <c r="P17" s="32"/>
      <c r="Q17" s="32"/>
      <c r="R17" s="32"/>
      <c r="S17" s="32"/>
      <c r="T17" s="32"/>
      <c r="U17" s="32"/>
      <c r="V17" s="32"/>
      <c r="W17" s="32"/>
      <c r="X17" s="32"/>
      <c r="Y17" s="32"/>
      <c r="Z17" s="32"/>
    </row>
    <row r="18" ht="15.75" customHeight="1">
      <c r="A18" s="182"/>
      <c r="B18" s="32"/>
      <c r="C18" s="32"/>
      <c r="D18" s="32"/>
      <c r="E18" s="32"/>
      <c r="F18" s="32"/>
      <c r="G18" s="32"/>
      <c r="H18" s="183"/>
      <c r="I18" s="32"/>
      <c r="J18" s="32"/>
      <c r="K18" s="32"/>
      <c r="L18" s="32"/>
      <c r="M18" s="32"/>
      <c r="N18" s="32"/>
      <c r="O18" s="32"/>
      <c r="P18" s="32"/>
      <c r="Q18" s="32"/>
      <c r="R18" s="32"/>
      <c r="S18" s="32"/>
      <c r="T18" s="32"/>
      <c r="U18" s="32"/>
      <c r="V18" s="32"/>
      <c r="W18" s="32"/>
      <c r="X18" s="32"/>
      <c r="Y18" s="32"/>
      <c r="Z18" s="32"/>
    </row>
    <row r="19" ht="15.75" customHeight="1">
      <c r="A19" s="182"/>
      <c r="B19" s="32"/>
      <c r="C19" s="32"/>
      <c r="D19" s="32"/>
      <c r="E19" s="32"/>
      <c r="F19" s="32"/>
      <c r="G19" s="32"/>
      <c r="H19" s="183"/>
      <c r="I19" s="32"/>
      <c r="J19" s="32"/>
      <c r="K19" s="32"/>
      <c r="L19" s="32"/>
      <c r="M19" s="32"/>
      <c r="N19" s="32"/>
      <c r="O19" s="32"/>
      <c r="P19" s="32"/>
      <c r="Q19" s="32"/>
      <c r="R19" s="32"/>
      <c r="S19" s="32"/>
      <c r="T19" s="32"/>
      <c r="U19" s="32"/>
      <c r="V19" s="32"/>
      <c r="W19" s="32"/>
      <c r="X19" s="32"/>
      <c r="Y19" s="32"/>
      <c r="Z19" s="32"/>
    </row>
    <row r="20" ht="15.75" customHeight="1">
      <c r="A20" s="182"/>
      <c r="B20" s="32"/>
      <c r="C20" s="32"/>
      <c r="D20" s="32"/>
      <c r="E20" s="32"/>
      <c r="F20" s="32"/>
      <c r="G20" s="32"/>
      <c r="H20" s="183"/>
      <c r="I20" s="32"/>
      <c r="J20" s="32"/>
      <c r="K20" s="32"/>
      <c r="L20" s="32"/>
      <c r="M20" s="32"/>
      <c r="N20" s="32"/>
      <c r="O20" s="32"/>
      <c r="P20" s="32"/>
      <c r="Q20" s="32"/>
      <c r="R20" s="32"/>
      <c r="S20" s="32"/>
      <c r="T20" s="32"/>
      <c r="U20" s="32"/>
      <c r="V20" s="32"/>
      <c r="W20" s="32"/>
      <c r="X20" s="32"/>
      <c r="Y20" s="32"/>
      <c r="Z20" s="32"/>
    </row>
    <row r="21" ht="15.75" customHeight="1">
      <c r="A21" s="182"/>
      <c r="B21" s="32"/>
      <c r="C21" s="32"/>
      <c r="D21" s="32"/>
      <c r="E21" s="32"/>
      <c r="F21" s="32"/>
      <c r="G21" s="32"/>
      <c r="H21" s="183"/>
      <c r="I21" s="32"/>
      <c r="J21" s="32"/>
      <c r="K21" s="32"/>
      <c r="L21" s="32"/>
      <c r="M21" s="32"/>
      <c r="N21" s="32"/>
      <c r="O21" s="32"/>
      <c r="P21" s="32"/>
      <c r="Q21" s="32"/>
      <c r="R21" s="32"/>
      <c r="S21" s="32"/>
      <c r="T21" s="32"/>
      <c r="U21" s="32"/>
      <c r="V21" s="32"/>
      <c r="W21" s="32"/>
      <c r="X21" s="32"/>
      <c r="Y21" s="32"/>
      <c r="Z21" s="32"/>
    </row>
    <row r="22" ht="15.75" customHeight="1">
      <c r="A22" s="182"/>
      <c r="B22" s="32"/>
      <c r="C22" s="32"/>
      <c r="D22" s="32"/>
      <c r="E22" s="32"/>
      <c r="F22" s="32"/>
      <c r="G22" s="32"/>
      <c r="H22" s="183"/>
      <c r="I22" s="32"/>
      <c r="J22" s="32"/>
      <c r="K22" s="32"/>
      <c r="L22" s="32"/>
      <c r="M22" s="32"/>
      <c r="N22" s="32"/>
      <c r="O22" s="32"/>
      <c r="P22" s="32"/>
      <c r="Q22" s="32"/>
      <c r="R22" s="32"/>
      <c r="S22" s="32"/>
      <c r="T22" s="32"/>
      <c r="U22" s="32"/>
      <c r="V22" s="32"/>
      <c r="W22" s="32"/>
      <c r="X22" s="32"/>
      <c r="Y22" s="32"/>
      <c r="Z22" s="32"/>
    </row>
    <row r="23" ht="15.75" customHeight="1">
      <c r="A23" s="182"/>
      <c r="B23" s="32"/>
      <c r="C23" s="32"/>
      <c r="D23" s="32"/>
      <c r="E23" s="32"/>
      <c r="F23" s="32"/>
      <c r="G23" s="32"/>
      <c r="H23" s="183"/>
      <c r="I23" s="32"/>
      <c r="J23" s="32"/>
      <c r="K23" s="32"/>
      <c r="L23" s="32"/>
      <c r="M23" s="32"/>
      <c r="N23" s="32"/>
      <c r="O23" s="32"/>
      <c r="P23" s="32"/>
      <c r="Q23" s="32"/>
      <c r="R23" s="32"/>
      <c r="S23" s="32"/>
      <c r="T23" s="32"/>
      <c r="U23" s="32"/>
      <c r="V23" s="32"/>
      <c r="W23" s="32"/>
      <c r="X23" s="32"/>
      <c r="Y23" s="32"/>
      <c r="Z23" s="32"/>
    </row>
    <row r="24" ht="15.75" customHeight="1">
      <c r="A24" s="182"/>
      <c r="B24" s="32"/>
      <c r="C24" s="32"/>
      <c r="D24" s="32"/>
      <c r="E24" s="32"/>
      <c r="F24" s="32"/>
      <c r="G24" s="32"/>
      <c r="H24" s="183"/>
      <c r="I24" s="32"/>
      <c r="J24" s="32"/>
      <c r="K24" s="32"/>
      <c r="L24" s="32"/>
      <c r="M24" s="32"/>
      <c r="N24" s="32"/>
      <c r="O24" s="32"/>
      <c r="P24" s="32"/>
      <c r="Q24" s="32"/>
      <c r="R24" s="32"/>
      <c r="S24" s="32"/>
      <c r="T24" s="32"/>
      <c r="U24" s="32"/>
      <c r="V24" s="32"/>
      <c r="W24" s="32"/>
      <c r="X24" s="32"/>
      <c r="Y24" s="32"/>
      <c r="Z24" s="32"/>
    </row>
    <row r="25" ht="15.75" customHeight="1">
      <c r="A25" s="182"/>
      <c r="B25" s="32"/>
      <c r="C25" s="32"/>
      <c r="D25" s="32"/>
      <c r="E25" s="32"/>
      <c r="F25" s="32"/>
      <c r="G25" s="32"/>
      <c r="H25" s="183"/>
      <c r="I25" s="32"/>
      <c r="J25" s="32"/>
      <c r="K25" s="32"/>
      <c r="L25" s="32"/>
      <c r="M25" s="32"/>
      <c r="N25" s="32"/>
      <c r="O25" s="32"/>
      <c r="P25" s="32"/>
      <c r="Q25" s="32"/>
      <c r="R25" s="32"/>
      <c r="S25" s="32"/>
      <c r="T25" s="32"/>
      <c r="U25" s="32"/>
      <c r="V25" s="32"/>
      <c r="W25" s="32"/>
      <c r="X25" s="32"/>
      <c r="Y25" s="32"/>
      <c r="Z25" s="32"/>
    </row>
    <row r="26" ht="15.75" customHeight="1">
      <c r="A26" s="182"/>
      <c r="B26" s="32"/>
      <c r="C26" s="32"/>
      <c r="D26" s="32"/>
      <c r="E26" s="32"/>
      <c r="F26" s="32"/>
      <c r="G26" s="32"/>
      <c r="H26" s="183"/>
      <c r="I26" s="32"/>
      <c r="J26" s="32"/>
      <c r="K26" s="32"/>
      <c r="L26" s="32"/>
      <c r="M26" s="32"/>
      <c r="N26" s="32"/>
      <c r="O26" s="32"/>
      <c r="P26" s="32"/>
      <c r="Q26" s="32"/>
      <c r="R26" s="32"/>
      <c r="S26" s="32"/>
      <c r="T26" s="32"/>
      <c r="U26" s="32"/>
      <c r="V26" s="32"/>
      <c r="W26" s="32"/>
      <c r="X26" s="32"/>
      <c r="Y26" s="32"/>
      <c r="Z26" s="32"/>
    </row>
    <row r="27" ht="15.75" customHeight="1">
      <c r="A27" s="182"/>
      <c r="B27" s="32"/>
      <c r="C27" s="32"/>
      <c r="D27" s="32"/>
      <c r="E27" s="32"/>
      <c r="F27" s="32"/>
      <c r="G27" s="32"/>
      <c r="H27" s="183"/>
      <c r="I27" s="32"/>
      <c r="J27" s="32"/>
      <c r="K27" s="32"/>
      <c r="L27" s="32"/>
      <c r="M27" s="32"/>
      <c r="N27" s="32"/>
      <c r="O27" s="32"/>
      <c r="P27" s="32"/>
      <c r="Q27" s="32"/>
      <c r="R27" s="32"/>
      <c r="S27" s="32"/>
      <c r="T27" s="32"/>
      <c r="U27" s="32"/>
      <c r="V27" s="32"/>
      <c r="W27" s="32"/>
      <c r="X27" s="32"/>
      <c r="Y27" s="32"/>
      <c r="Z27" s="32"/>
    </row>
    <row r="28" ht="15.75" customHeight="1">
      <c r="A28" s="182"/>
      <c r="B28" s="32"/>
      <c r="C28" s="32"/>
      <c r="D28" s="32"/>
      <c r="E28" s="32"/>
      <c r="F28" s="32"/>
      <c r="G28" s="32"/>
      <c r="H28" s="183"/>
      <c r="I28" s="32"/>
      <c r="J28" s="32"/>
      <c r="K28" s="32"/>
      <c r="L28" s="32"/>
      <c r="M28" s="32"/>
      <c r="N28" s="32"/>
      <c r="O28" s="32"/>
      <c r="P28" s="32"/>
      <c r="Q28" s="32"/>
      <c r="R28" s="32"/>
      <c r="S28" s="32"/>
      <c r="T28" s="32"/>
      <c r="U28" s="32"/>
      <c r="V28" s="32"/>
      <c r="W28" s="32"/>
      <c r="X28" s="32"/>
      <c r="Y28" s="32"/>
      <c r="Z28" s="32"/>
    </row>
    <row r="29" ht="15.75" customHeight="1">
      <c r="A29" s="182"/>
      <c r="B29" s="32"/>
      <c r="C29" s="32"/>
      <c r="D29" s="32"/>
      <c r="E29" s="32"/>
      <c r="F29" s="32"/>
      <c r="G29" s="32"/>
      <c r="H29" s="183"/>
      <c r="I29" s="32"/>
      <c r="J29" s="32"/>
      <c r="K29" s="32"/>
      <c r="L29" s="32"/>
      <c r="M29" s="32"/>
      <c r="N29" s="32"/>
      <c r="O29" s="32"/>
      <c r="P29" s="32"/>
      <c r="Q29" s="32"/>
      <c r="R29" s="32"/>
      <c r="S29" s="32"/>
      <c r="T29" s="32"/>
      <c r="U29" s="32"/>
      <c r="V29" s="32"/>
      <c r="W29" s="32"/>
      <c r="X29" s="32"/>
      <c r="Y29" s="32"/>
      <c r="Z29" s="32"/>
    </row>
    <row r="30" ht="15.75" customHeight="1">
      <c r="A30" s="182"/>
      <c r="B30" s="32"/>
      <c r="C30" s="32"/>
      <c r="D30" s="32"/>
      <c r="E30" s="32"/>
      <c r="F30" s="32"/>
      <c r="G30" s="32"/>
      <c r="H30" s="183"/>
      <c r="I30" s="32"/>
      <c r="J30" s="32"/>
      <c r="K30" s="32"/>
      <c r="L30" s="32"/>
      <c r="M30" s="32"/>
      <c r="N30" s="32"/>
      <c r="O30" s="32"/>
      <c r="P30" s="32"/>
      <c r="Q30" s="32"/>
      <c r="R30" s="32"/>
      <c r="S30" s="32"/>
      <c r="T30" s="32"/>
      <c r="U30" s="32"/>
      <c r="V30" s="32"/>
      <c r="W30" s="32"/>
      <c r="X30" s="32"/>
      <c r="Y30" s="32"/>
      <c r="Z30" s="32"/>
    </row>
    <row r="31" ht="15.75" customHeight="1">
      <c r="A31" s="182"/>
      <c r="B31" s="32"/>
      <c r="C31" s="32"/>
      <c r="D31" s="32"/>
      <c r="E31" s="32"/>
      <c r="F31" s="32"/>
      <c r="G31" s="32"/>
      <c r="H31" s="183"/>
      <c r="I31" s="32"/>
      <c r="J31" s="32"/>
      <c r="K31" s="32"/>
      <c r="L31" s="32"/>
      <c r="M31" s="32"/>
      <c r="N31" s="32"/>
      <c r="O31" s="32"/>
      <c r="P31" s="32"/>
      <c r="Q31" s="32"/>
      <c r="R31" s="32"/>
      <c r="S31" s="32"/>
      <c r="T31" s="32"/>
      <c r="U31" s="32"/>
      <c r="V31" s="32"/>
      <c r="W31" s="32"/>
      <c r="X31" s="32"/>
      <c r="Y31" s="32"/>
      <c r="Z31" s="32"/>
    </row>
    <row r="32" ht="15.75" customHeight="1">
      <c r="A32" s="182"/>
      <c r="B32" s="32"/>
      <c r="C32" s="32"/>
      <c r="D32" s="32"/>
      <c r="E32" s="32"/>
      <c r="F32" s="32"/>
      <c r="G32" s="32"/>
      <c r="H32" s="183"/>
      <c r="I32" s="32"/>
      <c r="J32" s="32"/>
      <c r="K32" s="32"/>
      <c r="L32" s="32"/>
      <c r="M32" s="32"/>
      <c r="N32" s="32"/>
      <c r="O32" s="32"/>
      <c r="P32" s="32"/>
      <c r="Q32" s="32"/>
      <c r="R32" s="32"/>
      <c r="S32" s="32"/>
      <c r="T32" s="32"/>
      <c r="U32" s="32"/>
      <c r="V32" s="32"/>
      <c r="W32" s="32"/>
      <c r="X32" s="32"/>
      <c r="Y32" s="32"/>
      <c r="Z32" s="32"/>
    </row>
    <row r="33" ht="15.75" customHeight="1">
      <c r="A33" s="182"/>
      <c r="B33" s="32"/>
      <c r="C33" s="32"/>
      <c r="D33" s="32"/>
      <c r="E33" s="32"/>
      <c r="F33" s="32"/>
      <c r="G33" s="32"/>
      <c r="H33" s="183"/>
      <c r="I33" s="32"/>
      <c r="J33" s="32"/>
      <c r="K33" s="32"/>
      <c r="L33" s="32"/>
      <c r="M33" s="32"/>
      <c r="N33" s="32"/>
      <c r="O33" s="32"/>
      <c r="P33" s="32"/>
      <c r="Q33" s="32"/>
      <c r="R33" s="32"/>
      <c r="S33" s="32"/>
      <c r="T33" s="32"/>
      <c r="U33" s="32"/>
      <c r="V33" s="32"/>
      <c r="W33" s="32"/>
      <c r="X33" s="32"/>
      <c r="Y33" s="32"/>
      <c r="Z33" s="32"/>
    </row>
    <row r="34" ht="15.75" customHeight="1">
      <c r="A34" s="182"/>
      <c r="B34" s="32"/>
      <c r="C34" s="32"/>
      <c r="D34" s="32"/>
      <c r="E34" s="32"/>
      <c r="F34" s="32"/>
      <c r="G34" s="32"/>
      <c r="H34" s="183"/>
      <c r="I34" s="32"/>
      <c r="J34" s="32"/>
      <c r="K34" s="32"/>
      <c r="L34" s="32"/>
      <c r="M34" s="32"/>
      <c r="N34" s="32"/>
      <c r="O34" s="32"/>
      <c r="P34" s="32"/>
      <c r="Q34" s="32"/>
      <c r="R34" s="32"/>
      <c r="S34" s="32"/>
      <c r="T34" s="32"/>
      <c r="U34" s="32"/>
      <c r="V34" s="32"/>
      <c r="W34" s="32"/>
      <c r="X34" s="32"/>
      <c r="Y34" s="32"/>
      <c r="Z34" s="32"/>
    </row>
    <row r="35" ht="15.75" customHeight="1">
      <c r="A35" s="182"/>
      <c r="B35" s="32"/>
      <c r="C35" s="32"/>
      <c r="D35" s="32"/>
      <c r="E35" s="32"/>
      <c r="F35" s="32"/>
      <c r="G35" s="32"/>
      <c r="H35" s="183"/>
      <c r="I35" s="32"/>
      <c r="J35" s="32"/>
      <c r="K35" s="32"/>
      <c r="L35" s="32"/>
      <c r="M35" s="32"/>
      <c r="N35" s="32"/>
      <c r="O35" s="32"/>
      <c r="P35" s="32"/>
      <c r="Q35" s="32"/>
      <c r="R35" s="32"/>
      <c r="S35" s="32"/>
      <c r="T35" s="32"/>
      <c r="U35" s="32"/>
      <c r="V35" s="32"/>
      <c r="W35" s="32"/>
      <c r="X35" s="32"/>
      <c r="Y35" s="32"/>
      <c r="Z35" s="32"/>
    </row>
    <row r="36" ht="15.75" customHeight="1">
      <c r="A36" s="182"/>
      <c r="B36" s="32"/>
      <c r="C36" s="32"/>
      <c r="D36" s="32"/>
      <c r="E36" s="32"/>
      <c r="F36" s="32"/>
      <c r="G36" s="32"/>
      <c r="H36" s="183"/>
      <c r="I36" s="32"/>
      <c r="J36" s="32"/>
      <c r="K36" s="32"/>
      <c r="L36" s="32"/>
      <c r="M36" s="32"/>
      <c r="N36" s="32"/>
      <c r="O36" s="32"/>
      <c r="P36" s="32"/>
      <c r="Q36" s="32"/>
      <c r="R36" s="32"/>
      <c r="S36" s="32"/>
      <c r="T36" s="32"/>
      <c r="U36" s="32"/>
      <c r="V36" s="32"/>
      <c r="W36" s="32"/>
      <c r="X36" s="32"/>
      <c r="Y36" s="32"/>
      <c r="Z36" s="32"/>
    </row>
    <row r="37" ht="15.75" customHeight="1">
      <c r="A37" s="182"/>
      <c r="B37" s="32"/>
      <c r="C37" s="32"/>
      <c r="D37" s="32"/>
      <c r="E37" s="32"/>
      <c r="F37" s="32"/>
      <c r="G37" s="32"/>
      <c r="H37" s="183"/>
      <c r="I37" s="32"/>
      <c r="J37" s="32"/>
      <c r="K37" s="32"/>
      <c r="L37" s="32"/>
      <c r="M37" s="32"/>
      <c r="N37" s="32"/>
      <c r="O37" s="32"/>
      <c r="P37" s="32"/>
      <c r="Q37" s="32"/>
      <c r="R37" s="32"/>
      <c r="S37" s="32"/>
      <c r="T37" s="32"/>
      <c r="U37" s="32"/>
      <c r="V37" s="32"/>
      <c r="W37" s="32"/>
      <c r="X37" s="32"/>
      <c r="Y37" s="32"/>
      <c r="Z37" s="32"/>
    </row>
    <row r="38" ht="15.75" customHeight="1">
      <c r="A38" s="182"/>
      <c r="B38" s="32"/>
      <c r="C38" s="32"/>
      <c r="D38" s="32"/>
      <c r="E38" s="32"/>
      <c r="F38" s="32"/>
      <c r="G38" s="32"/>
      <c r="H38" s="183"/>
      <c r="I38" s="32"/>
      <c r="J38" s="32"/>
      <c r="K38" s="32"/>
      <c r="L38" s="32"/>
      <c r="M38" s="32"/>
      <c r="N38" s="32"/>
      <c r="O38" s="32"/>
      <c r="P38" s="32"/>
      <c r="Q38" s="32"/>
      <c r="R38" s="32"/>
      <c r="S38" s="32"/>
      <c r="T38" s="32"/>
      <c r="U38" s="32"/>
      <c r="V38" s="32"/>
      <c r="W38" s="32"/>
      <c r="X38" s="32"/>
      <c r="Y38" s="32"/>
      <c r="Z38" s="32"/>
    </row>
    <row r="39" ht="15.75" customHeight="1">
      <c r="A39" s="182"/>
      <c r="B39" s="32"/>
      <c r="C39" s="32"/>
      <c r="D39" s="32"/>
      <c r="E39" s="32"/>
      <c r="F39" s="32"/>
      <c r="G39" s="32"/>
      <c r="H39" s="183"/>
      <c r="I39" s="32"/>
      <c r="J39" s="32"/>
      <c r="K39" s="32"/>
      <c r="L39" s="32"/>
      <c r="M39" s="32"/>
      <c r="N39" s="32"/>
      <c r="O39" s="32"/>
      <c r="P39" s="32"/>
      <c r="Q39" s="32"/>
      <c r="R39" s="32"/>
      <c r="S39" s="32"/>
      <c r="T39" s="32"/>
      <c r="U39" s="32"/>
      <c r="V39" s="32"/>
      <c r="W39" s="32"/>
      <c r="X39" s="32"/>
      <c r="Y39" s="32"/>
      <c r="Z39" s="32"/>
    </row>
    <row r="40" ht="15.75" customHeight="1">
      <c r="A40" s="182"/>
      <c r="B40" s="32"/>
      <c r="C40" s="32"/>
      <c r="D40" s="32"/>
      <c r="E40" s="32"/>
      <c r="F40" s="32"/>
      <c r="G40" s="32"/>
      <c r="H40" s="183"/>
      <c r="I40" s="32"/>
      <c r="J40" s="32"/>
      <c r="K40" s="32"/>
      <c r="L40" s="32"/>
      <c r="M40" s="32"/>
      <c r="N40" s="32"/>
      <c r="O40" s="32"/>
      <c r="P40" s="32"/>
      <c r="Q40" s="32"/>
      <c r="R40" s="32"/>
      <c r="S40" s="32"/>
      <c r="T40" s="32"/>
      <c r="U40" s="32"/>
      <c r="V40" s="32"/>
      <c r="W40" s="32"/>
      <c r="X40" s="32"/>
      <c r="Y40" s="32"/>
      <c r="Z40" s="32"/>
    </row>
    <row r="41" ht="15.75" customHeight="1">
      <c r="A41" s="182"/>
      <c r="B41" s="32"/>
      <c r="C41" s="32"/>
      <c r="D41" s="32"/>
      <c r="E41" s="32"/>
      <c r="F41" s="32"/>
      <c r="G41" s="32"/>
      <c r="H41" s="183"/>
      <c r="I41" s="32"/>
      <c r="J41" s="32"/>
      <c r="K41" s="32"/>
      <c r="L41" s="32"/>
      <c r="M41" s="32"/>
      <c r="N41" s="32"/>
      <c r="O41" s="32"/>
      <c r="P41" s="32"/>
      <c r="Q41" s="32"/>
      <c r="R41" s="32"/>
      <c r="S41" s="32"/>
      <c r="T41" s="32"/>
      <c r="U41" s="32"/>
      <c r="V41" s="32"/>
      <c r="W41" s="32"/>
      <c r="X41" s="32"/>
      <c r="Y41" s="32"/>
      <c r="Z41" s="32"/>
    </row>
    <row r="42" ht="15.75" customHeight="1">
      <c r="A42" s="182"/>
      <c r="B42" s="32"/>
      <c r="C42" s="32"/>
      <c r="D42" s="32"/>
      <c r="E42" s="32"/>
      <c r="F42" s="32"/>
      <c r="G42" s="32"/>
      <c r="H42" s="183"/>
      <c r="I42" s="32"/>
      <c r="J42" s="32"/>
      <c r="K42" s="32"/>
      <c r="L42" s="32"/>
      <c r="M42" s="32"/>
      <c r="N42" s="32"/>
      <c r="O42" s="32"/>
      <c r="P42" s="32"/>
      <c r="Q42" s="32"/>
      <c r="R42" s="32"/>
      <c r="S42" s="32"/>
      <c r="T42" s="32"/>
      <c r="U42" s="32"/>
      <c r="V42" s="32"/>
      <c r="W42" s="32"/>
      <c r="X42" s="32"/>
      <c r="Y42" s="32"/>
      <c r="Z42" s="32"/>
    </row>
    <row r="43" ht="15.75" customHeight="1">
      <c r="A43" s="182"/>
      <c r="B43" s="32"/>
      <c r="C43" s="32"/>
      <c r="D43" s="32"/>
      <c r="E43" s="32"/>
      <c r="F43" s="32"/>
      <c r="G43" s="32"/>
      <c r="H43" s="183"/>
      <c r="I43" s="32"/>
      <c r="J43" s="32"/>
      <c r="K43" s="32"/>
      <c r="L43" s="32"/>
      <c r="M43" s="32"/>
      <c r="N43" s="32"/>
      <c r="O43" s="32"/>
      <c r="P43" s="32"/>
      <c r="Q43" s="32"/>
      <c r="R43" s="32"/>
      <c r="S43" s="32"/>
      <c r="T43" s="32"/>
      <c r="U43" s="32"/>
      <c r="V43" s="32"/>
      <c r="W43" s="32"/>
      <c r="X43" s="32"/>
      <c r="Y43" s="32"/>
      <c r="Z43" s="32"/>
    </row>
    <row r="44" ht="15.75" customHeight="1">
      <c r="A44" s="182"/>
      <c r="B44" s="32"/>
      <c r="C44" s="32"/>
      <c r="D44" s="32"/>
      <c r="E44" s="32"/>
      <c r="F44" s="32"/>
      <c r="G44" s="32"/>
      <c r="H44" s="183"/>
      <c r="I44" s="32"/>
      <c r="J44" s="32"/>
      <c r="K44" s="32"/>
      <c r="L44" s="32"/>
      <c r="M44" s="32"/>
      <c r="N44" s="32"/>
      <c r="O44" s="32"/>
      <c r="P44" s="32"/>
      <c r="Q44" s="32"/>
      <c r="R44" s="32"/>
      <c r="S44" s="32"/>
      <c r="T44" s="32"/>
      <c r="U44" s="32"/>
      <c r="V44" s="32"/>
      <c r="W44" s="32"/>
      <c r="X44" s="32"/>
      <c r="Y44" s="32"/>
      <c r="Z44" s="32"/>
    </row>
    <row r="45" ht="15.75" customHeight="1">
      <c r="A45" s="187"/>
      <c r="B45" s="188"/>
      <c r="C45" s="188"/>
      <c r="D45" s="188"/>
      <c r="E45" s="188"/>
      <c r="F45" s="188"/>
      <c r="G45" s="188"/>
      <c r="H45" s="189"/>
      <c r="I45" s="32"/>
      <c r="J45" s="32"/>
      <c r="K45" s="32"/>
      <c r="L45" s="32"/>
      <c r="M45" s="32"/>
      <c r="N45" s="32"/>
      <c r="O45" s="32"/>
      <c r="P45" s="32"/>
      <c r="Q45" s="32"/>
      <c r="R45" s="32"/>
      <c r="S45" s="32"/>
      <c r="T45" s="32"/>
      <c r="U45" s="32"/>
      <c r="V45" s="32"/>
      <c r="W45" s="32"/>
      <c r="X45" s="32"/>
      <c r="Y45" s="32"/>
      <c r="Z45" s="32"/>
    </row>
    <row r="46" ht="48.0" customHeight="1">
      <c r="A46" s="190" t="s">
        <v>2570</v>
      </c>
      <c r="B46" s="2"/>
      <c r="C46" s="2"/>
      <c r="D46" s="2"/>
      <c r="E46" s="2"/>
      <c r="F46" s="2"/>
      <c r="G46" s="2"/>
      <c r="H46" s="3"/>
      <c r="I46" s="32"/>
      <c r="J46" s="32"/>
      <c r="K46" s="32"/>
      <c r="L46" s="32"/>
      <c r="M46" s="32"/>
      <c r="N46" s="32"/>
      <c r="O46" s="32"/>
      <c r="P46" s="32"/>
      <c r="Q46" s="32"/>
      <c r="R46" s="32"/>
      <c r="S46" s="32"/>
      <c r="T46" s="32"/>
      <c r="U46" s="32"/>
      <c r="V46" s="32"/>
      <c r="W46" s="32"/>
      <c r="X46" s="32"/>
      <c r="Y46" s="32"/>
      <c r="Z46" s="32"/>
    </row>
    <row r="47" ht="36.0" customHeight="1">
      <c r="A47" s="191"/>
      <c r="B47" s="2"/>
      <c r="C47" s="2"/>
      <c r="D47" s="2"/>
      <c r="E47" s="2"/>
      <c r="F47" s="3"/>
      <c r="G47" s="192" t="s">
        <v>1144</v>
      </c>
      <c r="H47" s="3"/>
      <c r="I47" s="19"/>
      <c r="J47" s="19"/>
      <c r="K47" s="19"/>
      <c r="L47" s="19"/>
      <c r="M47" s="19"/>
      <c r="N47" s="19"/>
      <c r="O47" s="19"/>
      <c r="P47" s="19"/>
      <c r="Q47" s="19"/>
      <c r="R47" s="19"/>
      <c r="S47" s="19"/>
      <c r="T47" s="19"/>
      <c r="U47" s="19"/>
      <c r="V47" s="19"/>
      <c r="W47" s="19"/>
      <c r="X47" s="19"/>
      <c r="Y47" s="19"/>
      <c r="Z47" s="19"/>
    </row>
    <row r="48" ht="60.0" customHeight="1">
      <c r="A48" s="193" t="str">
        <f>'High Risk Non-Compliant'!B4</f>
        <v>ID</v>
      </c>
      <c r="B48" s="194" t="str">
        <f>'High Risk Non-Compliant'!C4</f>
        <v>Question</v>
      </c>
      <c r="C48" s="3"/>
      <c r="D48" s="195" t="str">
        <f>'High Risk Non-Compliant'!D4</f>
        <v>Additional Info</v>
      </c>
      <c r="E48" s="2"/>
      <c r="F48" s="3"/>
      <c r="G48" s="193" t="str">
        <f>'Analyst Report'!B7</f>
        <v/>
      </c>
      <c r="H48" s="196" t="str">
        <f>VLOOKUP('Analyst Report'!B7,'Standards Crosswalk'!A314:B320,2)</f>
        <v>#N/A</v>
      </c>
      <c r="I48" s="197"/>
      <c r="J48" s="197"/>
      <c r="K48" s="197"/>
      <c r="L48" s="197"/>
      <c r="M48" s="197"/>
      <c r="N48" s="197"/>
      <c r="O48" s="197"/>
      <c r="P48" s="197"/>
      <c r="Q48" s="197"/>
      <c r="R48" s="197"/>
      <c r="S48" s="197"/>
      <c r="T48" s="197"/>
      <c r="U48" s="197"/>
      <c r="V48" s="197"/>
      <c r="W48" s="197"/>
      <c r="X48" s="197"/>
      <c r="Y48" s="197"/>
      <c r="Z48" s="197"/>
    </row>
    <row r="49" ht="144.0" customHeight="1">
      <c r="A49" s="198" t="str">
        <f>'High Risk Non-Compliant'!B5</f>
        <v/>
      </c>
      <c r="B49" s="199" t="str">
        <f>'High Risk Non-Compliant'!C5</f>
        <v/>
      </c>
      <c r="C49" s="3"/>
      <c r="D49" s="200" t="str">
        <f>'High Risk Non-Compliant'!D5</f>
        <v/>
      </c>
      <c r="E49" s="2"/>
      <c r="F49" s="3"/>
      <c r="G49" s="111" t="str">
        <f>VLOOKUP(A49,'High Risk Non-Compliant'!B:K,$H$48,FALSE)</f>
        <v>#N/A</v>
      </c>
      <c r="H49" s="111" t="str">
        <f>VLOOKUP(G49,'Crosswalk Detail'!A:B,2,FALSE)</f>
        <v>#N/A</v>
      </c>
      <c r="I49" s="32"/>
      <c r="J49" s="32"/>
      <c r="K49" s="32"/>
      <c r="L49" s="32"/>
      <c r="M49" s="32"/>
      <c r="N49" s="32"/>
      <c r="O49" s="32"/>
      <c r="P49" s="32"/>
      <c r="Q49" s="32"/>
      <c r="R49" s="32"/>
      <c r="S49" s="32"/>
      <c r="T49" s="32"/>
      <c r="U49" s="32"/>
      <c r="V49" s="32"/>
      <c r="W49" s="32"/>
      <c r="X49" s="32"/>
      <c r="Y49" s="32"/>
      <c r="Z49" s="32"/>
    </row>
    <row r="50" ht="144.0" customHeight="1">
      <c r="A50" s="198" t="str">
        <f>'High Risk Non-Compliant'!B6</f>
        <v>QUAL-01</v>
      </c>
      <c r="B50" s="199" t="str">
        <f>'High Risk Non-Compliant'!C6</f>
        <v>Does your product process protected health information (PHI) or any data covered by the Health Insurance Portability and Accountability Act?</v>
      </c>
      <c r="C50" s="3"/>
      <c r="D50" s="200" t="str">
        <f>'High Risk Non-Compliant'!D6</f>
        <v/>
      </c>
      <c r="E50" s="2"/>
      <c r="F50" s="3"/>
      <c r="G50" s="111" t="str">
        <f>VLOOKUP(A50,'High Risk Non-Compliant'!B:K,$H$48,FALSE)</f>
        <v>#N/A</v>
      </c>
      <c r="H50" s="111" t="str">
        <f>VLOOKUP(G50,'Crosswalk Detail'!A:B,2,FALSE)</f>
        <v>#N/A</v>
      </c>
      <c r="I50" s="32"/>
      <c r="J50" s="32"/>
      <c r="K50" s="32"/>
      <c r="L50" s="32"/>
      <c r="M50" s="32"/>
      <c r="N50" s="32"/>
      <c r="O50" s="32"/>
      <c r="P50" s="32"/>
      <c r="Q50" s="32"/>
      <c r="R50" s="32"/>
      <c r="S50" s="32"/>
      <c r="T50" s="32"/>
      <c r="U50" s="32"/>
      <c r="V50" s="32"/>
      <c r="W50" s="32"/>
      <c r="X50" s="32"/>
      <c r="Y50" s="32"/>
      <c r="Z50" s="32"/>
    </row>
    <row r="51" ht="144.0" customHeight="1">
      <c r="A51" s="198" t="str">
        <f>'High Risk Non-Compliant'!B7</f>
        <v>QUAL-02</v>
      </c>
      <c r="B51" s="199" t="str">
        <f>'High Risk Non-Compliant'!C7</f>
        <v>Does the vended product host/support a mobile application? (e.g. app)</v>
      </c>
      <c r="C51" s="3"/>
      <c r="D51" s="200" t="str">
        <f>'High Risk Non-Compliant'!D7</f>
        <v/>
      </c>
      <c r="E51" s="2"/>
      <c r="F51" s="3"/>
      <c r="G51" s="111" t="str">
        <f>VLOOKUP(A51,'High Risk Non-Compliant'!B:K,$H$48,FALSE)</f>
        <v>#N/A</v>
      </c>
      <c r="H51" s="111" t="str">
        <f>VLOOKUP(G51,'Crosswalk Detail'!A:B,2,FALSE)</f>
        <v>#N/A</v>
      </c>
      <c r="I51" s="32"/>
      <c r="J51" s="32"/>
      <c r="K51" s="32"/>
      <c r="L51" s="32"/>
      <c r="M51" s="32"/>
      <c r="N51" s="32"/>
      <c r="O51" s="32"/>
      <c r="P51" s="32"/>
      <c r="Q51" s="32"/>
      <c r="R51" s="32"/>
      <c r="S51" s="32"/>
      <c r="T51" s="32"/>
      <c r="U51" s="32"/>
      <c r="V51" s="32"/>
      <c r="W51" s="32"/>
      <c r="X51" s="32"/>
      <c r="Y51" s="32"/>
      <c r="Z51" s="32"/>
    </row>
    <row r="52" ht="144.0" customHeight="1">
      <c r="A52" s="198" t="str">
        <f>'High Risk Non-Compliant'!B8</f>
        <v>QUAL-03</v>
      </c>
      <c r="B52" s="199" t="str">
        <f>'High Risk Non-Compliant'!C8</f>
        <v>Will institution data be shared with or hosted by any third parties? (e.g. any entity not wholly-owned by your company is considered a third-party)</v>
      </c>
      <c r="C52" s="3"/>
      <c r="D52" s="200" t="str">
        <f>'High Risk Non-Compliant'!D8</f>
        <v/>
      </c>
      <c r="E52" s="2"/>
      <c r="F52" s="3"/>
      <c r="G52" s="111" t="str">
        <f>VLOOKUP(A52,'High Risk Non-Compliant'!B:K,$H$48,FALSE)</f>
        <v>#N/A</v>
      </c>
      <c r="H52" s="111" t="str">
        <f>VLOOKUP(G52,'Crosswalk Detail'!A:B,2,FALSE)</f>
        <v>#N/A</v>
      </c>
      <c r="I52" s="32"/>
      <c r="J52" s="32"/>
      <c r="K52" s="32"/>
      <c r="L52" s="32"/>
      <c r="M52" s="32"/>
      <c r="N52" s="32"/>
      <c r="O52" s="32"/>
      <c r="P52" s="32"/>
      <c r="Q52" s="32"/>
      <c r="R52" s="32"/>
      <c r="S52" s="32"/>
      <c r="T52" s="32"/>
      <c r="U52" s="32"/>
      <c r="V52" s="32"/>
      <c r="W52" s="32"/>
      <c r="X52" s="32"/>
      <c r="Y52" s="32"/>
      <c r="Z52" s="32"/>
    </row>
    <row r="53" ht="144.0" customHeight="1">
      <c r="A53" s="198" t="str">
        <f>'High Risk Non-Compliant'!B9</f>
        <v>QUAL-04</v>
      </c>
      <c r="B53" s="199" t="str">
        <f>'High Risk Non-Compliant'!C9</f>
        <v>Do you have a Business Continuity Plan (BCP)?</v>
      </c>
      <c r="C53" s="3"/>
      <c r="D53" s="200" t="str">
        <f>'High Risk Non-Compliant'!D9</f>
        <v/>
      </c>
      <c r="E53" s="2"/>
      <c r="F53" s="3"/>
      <c r="G53" s="111" t="str">
        <f>VLOOKUP(A53,'High Risk Non-Compliant'!B:K,$H$48,FALSE)</f>
        <v>#N/A</v>
      </c>
      <c r="H53" s="111" t="str">
        <f>VLOOKUP(G53,'Crosswalk Detail'!A:B,2,FALSE)</f>
        <v>#N/A</v>
      </c>
      <c r="I53" s="32"/>
      <c r="J53" s="32"/>
      <c r="K53" s="32"/>
      <c r="L53" s="32"/>
      <c r="M53" s="32"/>
      <c r="N53" s="32"/>
      <c r="O53" s="32"/>
      <c r="P53" s="32"/>
      <c r="Q53" s="32"/>
      <c r="R53" s="32"/>
      <c r="S53" s="32"/>
      <c r="T53" s="32"/>
      <c r="U53" s="32"/>
      <c r="V53" s="32"/>
      <c r="W53" s="32"/>
      <c r="X53" s="32"/>
      <c r="Y53" s="32"/>
      <c r="Z53" s="32"/>
    </row>
    <row r="54" ht="144.0" customHeight="1">
      <c r="A54" s="198" t="str">
        <f>'High Risk Non-Compliant'!B10</f>
        <v>QUAL-05</v>
      </c>
      <c r="B54" s="205" t="str">
        <f>'High Risk Non-Compliant'!C10</f>
        <v>Do you have a Disaster Recovery Plan (DRP)?</v>
      </c>
      <c r="C54" s="3"/>
      <c r="D54" s="200" t="str">
        <f>'High Risk Non-Compliant'!D10</f>
        <v/>
      </c>
      <c r="E54" s="2"/>
      <c r="F54" s="3"/>
      <c r="G54" s="111" t="str">
        <f>VLOOKUP(A54,'High Risk Non-Compliant'!B:K,$H$48,FALSE)</f>
        <v>#N/A</v>
      </c>
      <c r="H54" s="111" t="str">
        <f>VLOOKUP(G54,'Crosswalk Detail'!A:B,2,FALSE)</f>
        <v>#N/A</v>
      </c>
      <c r="I54" s="32"/>
      <c r="J54" s="32"/>
      <c r="K54" s="32"/>
      <c r="L54" s="32"/>
      <c r="M54" s="32"/>
      <c r="N54" s="32"/>
      <c r="O54" s="32"/>
      <c r="P54" s="32"/>
      <c r="Q54" s="32"/>
      <c r="R54" s="32"/>
      <c r="S54" s="32"/>
      <c r="T54" s="32"/>
      <c r="U54" s="32"/>
      <c r="V54" s="32"/>
      <c r="W54" s="32"/>
      <c r="X54" s="32"/>
      <c r="Y54" s="32"/>
      <c r="Z54" s="32"/>
    </row>
    <row r="55" ht="144.0" customHeight="1">
      <c r="A55" s="198" t="str">
        <f>'High Risk Non-Compliant'!B11</f>
        <v>QUAL-06</v>
      </c>
      <c r="B55" s="199" t="str">
        <f>'High Risk Non-Compliant'!C11</f>
        <v>Will data regulated by PCI DSS reside in the vended product?</v>
      </c>
      <c r="C55" s="3"/>
      <c r="D55" s="200" t="str">
        <f>'High Risk Non-Compliant'!D11</f>
        <v/>
      </c>
      <c r="E55" s="2"/>
      <c r="F55" s="3"/>
      <c r="G55" s="111" t="str">
        <f>VLOOKUP(A55,'High Risk Non-Compliant'!B:K,$H$48,FALSE)</f>
        <v>#N/A</v>
      </c>
      <c r="H55" s="111" t="str">
        <f>VLOOKUP(G55,'Crosswalk Detail'!A:B,2,FALSE)</f>
        <v>#N/A</v>
      </c>
      <c r="I55" s="32"/>
      <c r="J55" s="32"/>
      <c r="K55" s="32"/>
      <c r="L55" s="32"/>
      <c r="M55" s="32"/>
      <c r="N55" s="32"/>
      <c r="O55" s="32"/>
      <c r="P55" s="32"/>
      <c r="Q55" s="32"/>
      <c r="R55" s="32"/>
      <c r="S55" s="32"/>
      <c r="T55" s="32"/>
      <c r="U55" s="32"/>
      <c r="V55" s="32"/>
      <c r="W55" s="32"/>
      <c r="X55" s="32"/>
      <c r="Y55" s="32"/>
      <c r="Z55" s="32"/>
    </row>
    <row r="56" ht="144.0" customHeight="1">
      <c r="A56" s="198" t="str">
        <f>'High Risk Non-Compliant'!B12</f>
        <v>QUAL-07</v>
      </c>
      <c r="B56" s="199" t="str">
        <f>'High Risk Non-Compliant'!C12</f>
        <v>Is your company a consulting firm providing only consultation to the Institution?</v>
      </c>
      <c r="C56" s="3"/>
      <c r="D56" s="200" t="str">
        <f>'High Risk Non-Compliant'!D12</f>
        <v/>
      </c>
      <c r="E56" s="2"/>
      <c r="F56" s="3"/>
      <c r="G56" s="111" t="str">
        <f>VLOOKUP(A56,'High Risk Non-Compliant'!B:K,$H$48,FALSE)</f>
        <v>#N/A</v>
      </c>
      <c r="H56" s="111" t="str">
        <f>VLOOKUP(G56,'Crosswalk Detail'!A:B,2,FALSE)</f>
        <v>#N/A</v>
      </c>
      <c r="I56" s="32"/>
      <c r="J56" s="32"/>
      <c r="K56" s="32"/>
      <c r="L56" s="32"/>
      <c r="M56" s="32"/>
      <c r="N56" s="32"/>
      <c r="O56" s="32"/>
      <c r="P56" s="32"/>
      <c r="Q56" s="32"/>
      <c r="R56" s="32"/>
      <c r="S56" s="32"/>
      <c r="T56" s="32"/>
      <c r="U56" s="32"/>
      <c r="V56" s="32"/>
      <c r="W56" s="32"/>
      <c r="X56" s="32"/>
      <c r="Y56" s="32"/>
      <c r="Z56" s="32"/>
    </row>
    <row r="57" ht="144.0" customHeight="1">
      <c r="A57" s="198" t="str">
        <f>'High Risk Non-Compliant'!B13</f>
        <v>DOCU-01</v>
      </c>
      <c r="B57" s="199" t="str">
        <f>'High Risk Non-Compliant'!C13</f>
        <v>Have you undergone a SSAE 16 audit?</v>
      </c>
      <c r="C57" s="3"/>
      <c r="D57" s="200" t="str">
        <f>'High Risk Non-Compliant'!D13</f>
        <v>SSAE Audit targeted for August 2019</v>
      </c>
      <c r="E57" s="2"/>
      <c r="F57" s="3"/>
      <c r="G57" s="111" t="str">
        <f>VLOOKUP(A57,'High Risk Non-Compliant'!B:K,$H$48,FALSE)</f>
        <v>#N/A</v>
      </c>
      <c r="H57" s="111" t="str">
        <f>VLOOKUP(G57,'Crosswalk Detail'!A:B,2,FALSE)</f>
        <v>#N/A</v>
      </c>
      <c r="I57" s="32"/>
      <c r="J57" s="32"/>
      <c r="K57" s="32"/>
      <c r="L57" s="32"/>
      <c r="M57" s="32"/>
      <c r="N57" s="32"/>
      <c r="O57" s="32"/>
      <c r="P57" s="32"/>
      <c r="Q57" s="32"/>
      <c r="R57" s="32"/>
      <c r="S57" s="32"/>
      <c r="T57" s="32"/>
      <c r="U57" s="32"/>
      <c r="V57" s="32"/>
      <c r="W57" s="32"/>
      <c r="X57" s="32"/>
      <c r="Y57" s="32"/>
      <c r="Z57" s="32"/>
    </row>
    <row r="58" ht="144.0" customHeight="1">
      <c r="A58" s="198" t="str">
        <f>'High Risk Non-Compliant'!B14</f>
        <v>DOCU-02</v>
      </c>
      <c r="B58" s="199" t="str">
        <f>'High Risk Non-Compliant'!C14</f>
        <v>Have you completed the Cloud Security Alliance (CSA) self assessment or CAIQ?</v>
      </c>
      <c r="C58" s="3"/>
      <c r="D58" s="200" t="str">
        <f>'High Risk Non-Compliant'!D14</f>
        <v>No plans at this point</v>
      </c>
      <c r="E58" s="2"/>
      <c r="F58" s="3"/>
      <c r="G58" s="111" t="str">
        <f>VLOOKUP(A58,'High Risk Non-Compliant'!B:K,$H$48,FALSE)</f>
        <v>#N/A</v>
      </c>
      <c r="H58" s="111" t="str">
        <f>VLOOKUP(G58,'Crosswalk Detail'!A:B,2,FALSE)</f>
        <v>#N/A</v>
      </c>
      <c r="I58" s="32"/>
      <c r="J58" s="32"/>
      <c r="K58" s="32"/>
      <c r="L58" s="32"/>
      <c r="M58" s="32"/>
      <c r="N58" s="32"/>
      <c r="O58" s="32"/>
      <c r="P58" s="32"/>
      <c r="Q58" s="32"/>
      <c r="R58" s="32"/>
      <c r="S58" s="32"/>
      <c r="T58" s="32"/>
      <c r="U58" s="32"/>
      <c r="V58" s="32"/>
      <c r="W58" s="32"/>
      <c r="X58" s="32"/>
      <c r="Y58" s="32"/>
      <c r="Z58" s="32"/>
    </row>
    <row r="59" ht="144.0" customHeight="1">
      <c r="A59" s="198" t="str">
        <f>'High Risk Non-Compliant'!B15</f>
        <v>DOCU-03</v>
      </c>
      <c r="B59" s="199" t="str">
        <f>'High Risk Non-Compliant'!C15</f>
        <v>Have you received the Cloud Security Alliance STAR certification?</v>
      </c>
      <c r="C59" s="3"/>
      <c r="D59" s="200" t="str">
        <f>'High Risk Non-Compliant'!D15</f>
        <v>No plans at this point</v>
      </c>
      <c r="E59" s="2"/>
      <c r="F59" s="3"/>
      <c r="G59" s="111" t="str">
        <f>VLOOKUP(A59,'High Risk Non-Compliant'!B:K,$H$48,FALSE)</f>
        <v>#N/A</v>
      </c>
      <c r="H59" s="111" t="str">
        <f>VLOOKUP(G59,'Crosswalk Detail'!A:B,2,FALSE)</f>
        <v>#N/A</v>
      </c>
      <c r="I59" s="32"/>
      <c r="J59" s="32"/>
      <c r="K59" s="32"/>
      <c r="L59" s="32"/>
      <c r="M59" s="32"/>
      <c r="N59" s="32"/>
      <c r="O59" s="32"/>
      <c r="P59" s="32"/>
      <c r="Q59" s="32"/>
      <c r="R59" s="32"/>
      <c r="S59" s="32"/>
      <c r="T59" s="32"/>
      <c r="U59" s="32"/>
      <c r="V59" s="32"/>
      <c r="W59" s="32"/>
      <c r="X59" s="32"/>
      <c r="Y59" s="32"/>
      <c r="Z59" s="32"/>
    </row>
    <row r="60" ht="144.0" customHeight="1">
      <c r="A60" s="198" t="str">
        <f>'High Risk Non-Compliant'!B16</f>
        <v>DOCU-04</v>
      </c>
      <c r="B60" s="199" t="str">
        <f>'High Risk Non-Compliant'!C16</f>
        <v>Do you conform with a specific industry standard security framework? (e.g. NIST Cybersecurity Framework, ISO 27001, etc.)</v>
      </c>
      <c r="C60" s="3"/>
      <c r="D60" s="200" t="str">
        <f>'High Risk Non-Compliant'!D16</f>
        <v>We are working to be compliant with ISO 27001 by end of Q3</v>
      </c>
      <c r="E60" s="2"/>
      <c r="F60" s="3"/>
      <c r="G60" s="111" t="str">
        <f>VLOOKUP(A60,'High Risk Non-Compliant'!B:K,$H$48,FALSE)</f>
        <v>#N/A</v>
      </c>
      <c r="H60" s="111" t="str">
        <f>VLOOKUP(G60,'Crosswalk Detail'!A:B,2,FALSE)</f>
        <v>#N/A</v>
      </c>
      <c r="I60" s="32"/>
      <c r="J60" s="32"/>
      <c r="K60" s="32"/>
      <c r="L60" s="32"/>
      <c r="M60" s="32"/>
      <c r="N60" s="32"/>
      <c r="O60" s="32"/>
      <c r="P60" s="32"/>
      <c r="Q60" s="32"/>
      <c r="R60" s="32"/>
      <c r="S60" s="32"/>
      <c r="T60" s="32"/>
      <c r="U60" s="32"/>
      <c r="V60" s="32"/>
      <c r="W60" s="32"/>
      <c r="X60" s="32"/>
      <c r="Y60" s="32"/>
      <c r="Z60" s="32"/>
    </row>
    <row r="61" ht="144.0" customHeight="1">
      <c r="A61" s="198" t="str">
        <f>'High Risk Non-Compliant'!B17</f>
        <v>DOCU-05</v>
      </c>
      <c r="B61" s="199" t="str">
        <f>'High Risk Non-Compliant'!C17</f>
        <v>Are you compliant with FISMA standards?</v>
      </c>
      <c r="C61" s="3"/>
      <c r="D61" s="200" t="str">
        <f>'High Risk Non-Compliant'!D17</f>
        <v>No plans at this point</v>
      </c>
      <c r="E61" s="2"/>
      <c r="F61" s="3"/>
      <c r="G61" s="111" t="str">
        <f>VLOOKUP(A61,'High Risk Non-Compliant'!B:K,$H$48,FALSE)</f>
        <v>#N/A</v>
      </c>
      <c r="H61" s="111" t="str">
        <f>VLOOKUP(G61,'Crosswalk Detail'!A:B,2,FALSE)</f>
        <v>#N/A</v>
      </c>
      <c r="I61" s="32"/>
      <c r="J61" s="32"/>
      <c r="K61" s="32"/>
      <c r="L61" s="32"/>
      <c r="M61" s="32"/>
      <c r="N61" s="32"/>
      <c r="O61" s="32"/>
      <c r="P61" s="32"/>
      <c r="Q61" s="32"/>
      <c r="R61" s="32"/>
      <c r="S61" s="32"/>
      <c r="T61" s="32"/>
      <c r="U61" s="32"/>
      <c r="V61" s="32"/>
      <c r="W61" s="32"/>
      <c r="X61" s="32"/>
      <c r="Y61" s="32"/>
      <c r="Z61" s="32"/>
    </row>
    <row r="62" ht="144.0" customHeight="1">
      <c r="A62" s="198" t="str">
        <f>'High Risk Non-Compliant'!B18</f>
        <v>DOCU-06</v>
      </c>
      <c r="B62" s="199" t="str">
        <f>'High Risk Non-Compliant'!C18</f>
        <v>Does your organization have a data privacy policy?</v>
      </c>
      <c r="C62" s="3"/>
      <c r="D62" s="200" t="str">
        <f>'High Risk Non-Compliant'!D18</f>
        <v>Data privacy policy is outlined in agreement</v>
      </c>
      <c r="E62" s="2"/>
      <c r="F62" s="3"/>
      <c r="G62" s="111" t="str">
        <f>VLOOKUP(A62,'High Risk Non-Compliant'!B:K,$H$48,FALSE)</f>
        <v>#N/A</v>
      </c>
      <c r="H62" s="111" t="str">
        <f>VLOOKUP(G62,'Crosswalk Detail'!A:B,2,FALSE)</f>
        <v>#N/A</v>
      </c>
      <c r="I62" s="32"/>
      <c r="J62" s="32"/>
      <c r="K62" s="32"/>
      <c r="L62" s="32"/>
      <c r="M62" s="32"/>
      <c r="N62" s="32"/>
      <c r="O62" s="32"/>
      <c r="P62" s="32"/>
      <c r="Q62" s="32"/>
      <c r="R62" s="32"/>
      <c r="S62" s="32"/>
      <c r="T62" s="32"/>
      <c r="U62" s="32"/>
      <c r="V62" s="32"/>
      <c r="W62" s="32"/>
      <c r="X62" s="32"/>
      <c r="Y62" s="32"/>
      <c r="Z62" s="32"/>
    </row>
    <row r="63" ht="144.0" customHeight="1">
      <c r="A63" s="198" t="str">
        <f>'High Risk Non-Compliant'!B19</f>
        <v>THRD-01</v>
      </c>
      <c r="B63" s="199" t="str">
        <f>'High Risk Non-Compliant'!C19</f>
        <v>Describe how you perform security assessments of third party companies with which you share data (i.e. hosting providers, cloud services, PaaS, IaaS, SaaS, etc.). Provide a summary of your practices that assures that the third party will be subject to the appropriate standards regarding security, service recoverability, and confidentiality.</v>
      </c>
      <c r="C63" s="3"/>
      <c r="D63" s="200" t="str">
        <f>'High Risk Non-Compliant'!D19</f>
        <v/>
      </c>
      <c r="E63" s="2"/>
      <c r="F63" s="3"/>
      <c r="G63" s="111" t="str">
        <f>VLOOKUP(A63,'High Risk Non-Compliant'!B:K,$H$48,FALSE)</f>
        <v>#N/A</v>
      </c>
      <c r="H63" s="111" t="str">
        <f>VLOOKUP(G63,'Crosswalk Detail'!A:B,2,FALSE)</f>
        <v>#N/A</v>
      </c>
      <c r="I63" s="32"/>
      <c r="J63" s="32"/>
      <c r="K63" s="32"/>
      <c r="L63" s="32"/>
      <c r="M63" s="32"/>
      <c r="N63" s="32"/>
      <c r="O63" s="32"/>
      <c r="P63" s="32"/>
      <c r="Q63" s="32"/>
      <c r="R63" s="32"/>
      <c r="S63" s="32"/>
      <c r="T63" s="32"/>
      <c r="U63" s="32"/>
      <c r="V63" s="32"/>
      <c r="W63" s="32"/>
      <c r="X63" s="32"/>
      <c r="Y63" s="32"/>
      <c r="Z63" s="32"/>
    </row>
    <row r="64" ht="144.0" customHeight="1">
      <c r="A64" s="198" t="str">
        <f>'High Risk Non-Compliant'!B20</f>
        <v>THRD-02</v>
      </c>
      <c r="B64" s="199" t="str">
        <f>'High Risk Non-Compliant'!C20</f>
        <v>Provide a brief description for why each of these third parties will have access to institution data.</v>
      </c>
      <c r="C64" s="3"/>
      <c r="D64" s="200" t="str">
        <f>'High Risk Non-Compliant'!D20</f>
        <v/>
      </c>
      <c r="E64" s="2"/>
      <c r="F64" s="3"/>
      <c r="G64" s="111" t="str">
        <f>VLOOKUP(A64,'High Risk Non-Compliant'!B:K,$H$48,FALSE)</f>
        <v>#N/A</v>
      </c>
      <c r="H64" s="111" t="str">
        <f>VLOOKUP(G64,'Crosswalk Detail'!A:B,2,FALSE)</f>
        <v>#N/A</v>
      </c>
      <c r="I64" s="32"/>
      <c r="J64" s="32"/>
      <c r="K64" s="32"/>
      <c r="L64" s="32"/>
      <c r="M64" s="32"/>
      <c r="N64" s="32"/>
      <c r="O64" s="32"/>
      <c r="P64" s="32"/>
      <c r="Q64" s="32"/>
      <c r="R64" s="32"/>
      <c r="S64" s="32"/>
      <c r="T64" s="32"/>
      <c r="U64" s="32"/>
      <c r="V64" s="32"/>
      <c r="W64" s="32"/>
      <c r="X64" s="32"/>
      <c r="Y64" s="32"/>
      <c r="Z64" s="32"/>
    </row>
    <row r="65" ht="144.0" customHeight="1">
      <c r="A65" s="198" t="str">
        <f>'High Risk Non-Compliant'!B21</f>
        <v>THRD-03</v>
      </c>
      <c r="B65" s="199" t="str">
        <f>'High Risk Non-Compliant'!C21</f>
        <v>What legal agreements (i.e. contracts) do you have in place with these third parties that address liability in the event of a data breach?</v>
      </c>
      <c r="C65" s="3"/>
      <c r="D65" s="200" t="str">
        <f>'High Risk Non-Compliant'!D21</f>
        <v/>
      </c>
      <c r="E65" s="2"/>
      <c r="F65" s="3"/>
      <c r="G65" s="111" t="str">
        <f>VLOOKUP(A65,'High Risk Non-Compliant'!B:K,$H$48,FALSE)</f>
        <v>#N/A</v>
      </c>
      <c r="H65" s="111" t="str">
        <f>VLOOKUP(G65,'Crosswalk Detail'!A:B,2,FALSE)</f>
        <v>#N/A</v>
      </c>
      <c r="I65" s="32"/>
      <c r="J65" s="32"/>
      <c r="K65" s="32"/>
      <c r="L65" s="32"/>
      <c r="M65" s="32"/>
      <c r="N65" s="32"/>
      <c r="O65" s="32"/>
      <c r="P65" s="32"/>
      <c r="Q65" s="32"/>
      <c r="R65" s="32"/>
      <c r="S65" s="32"/>
      <c r="T65" s="32"/>
      <c r="U65" s="32"/>
      <c r="V65" s="32"/>
      <c r="W65" s="32"/>
      <c r="X65" s="32"/>
      <c r="Y65" s="32"/>
      <c r="Z65" s="32"/>
    </row>
    <row r="66" ht="144.0" customHeight="1">
      <c r="A66" s="198" t="str">
        <f>'High Risk Non-Compliant'!B22</f>
        <v>THRD-04</v>
      </c>
      <c r="B66" s="199" t="str">
        <f>'High Risk Non-Compliant'!C22</f>
        <v>Describe or provide references to your third party management strategy or provide additional information that may help analysts better understand your environment and how it relates to third-party solutions.</v>
      </c>
      <c r="C66" s="3"/>
      <c r="D66" s="200" t="str">
        <f>'High Risk Non-Compliant'!D22</f>
        <v/>
      </c>
      <c r="E66" s="2"/>
      <c r="F66" s="3"/>
      <c r="G66" s="111" t="str">
        <f>VLOOKUP(A66,'High Risk Non-Compliant'!B:K,$H$48,FALSE)</f>
        <v>#N/A</v>
      </c>
      <c r="H66" s="111" t="str">
        <f>VLOOKUP(G66,'Crosswalk Detail'!A:B,2,FALSE)</f>
        <v>#N/A</v>
      </c>
      <c r="I66" s="32"/>
      <c r="J66" s="32"/>
      <c r="K66" s="32"/>
      <c r="L66" s="32"/>
      <c r="M66" s="32"/>
      <c r="N66" s="32"/>
      <c r="O66" s="32"/>
      <c r="P66" s="32"/>
      <c r="Q66" s="32"/>
      <c r="R66" s="32"/>
      <c r="S66" s="32"/>
      <c r="T66" s="32"/>
      <c r="U66" s="32"/>
      <c r="V66" s="32"/>
      <c r="W66" s="32"/>
      <c r="X66" s="32"/>
      <c r="Y66" s="32"/>
      <c r="Z66" s="32"/>
    </row>
    <row r="67" ht="144.0" customHeight="1">
      <c r="A67" s="198" t="str">
        <f>'High Risk Non-Compliant'!B23</f>
        <v>CONS-01</v>
      </c>
      <c r="B67" s="199" t="str">
        <f>'High Risk Non-Compliant'!C23</f>
        <v>Will the consulting take place on-premises?</v>
      </c>
      <c r="C67" s="3"/>
      <c r="D67" s="200" t="str">
        <f>'High Risk Non-Compliant'!D23</f>
        <v/>
      </c>
      <c r="E67" s="2"/>
      <c r="F67" s="3"/>
      <c r="G67" s="111" t="str">
        <f>VLOOKUP(A67,'High Risk Non-Compliant'!B:K,$H$48,FALSE)</f>
        <v>#N/A</v>
      </c>
      <c r="H67" s="111" t="str">
        <f>VLOOKUP(G67,'Crosswalk Detail'!A:B,2,FALSE)</f>
        <v>#N/A</v>
      </c>
      <c r="I67" s="32"/>
      <c r="J67" s="32"/>
      <c r="K67" s="32"/>
      <c r="L67" s="32"/>
      <c r="M67" s="32"/>
      <c r="N67" s="32"/>
      <c r="O67" s="32"/>
      <c r="P67" s="32"/>
      <c r="Q67" s="32"/>
      <c r="R67" s="32"/>
      <c r="S67" s="32"/>
      <c r="T67" s="32"/>
      <c r="U67" s="32"/>
      <c r="V67" s="32"/>
      <c r="W67" s="32"/>
      <c r="X67" s="32"/>
      <c r="Y67" s="32"/>
      <c r="Z67" s="32"/>
    </row>
    <row r="68" ht="144.0" customHeight="1">
      <c r="A68" s="198" t="str">
        <f>'High Risk Non-Compliant'!B24</f>
        <v>CONS-02</v>
      </c>
      <c r="B68" s="199" t="str">
        <f>'High Risk Non-Compliant'!C24</f>
        <v>Will the consultant require access to Institution's network resources?</v>
      </c>
      <c r="C68" s="3"/>
      <c r="D68" s="200" t="str">
        <f>'High Risk Non-Compliant'!D24</f>
        <v/>
      </c>
      <c r="E68" s="2"/>
      <c r="F68" s="3"/>
      <c r="G68" s="111" t="str">
        <f>VLOOKUP(A68,'High Risk Non-Compliant'!B:K,$H$48,FALSE)</f>
        <v>#N/A</v>
      </c>
      <c r="H68" s="111" t="str">
        <f>VLOOKUP(G68,'Crosswalk Detail'!A:B,2,FALSE)</f>
        <v>#N/A</v>
      </c>
      <c r="I68" s="32"/>
      <c r="J68" s="32"/>
      <c r="K68" s="32"/>
      <c r="L68" s="32"/>
      <c r="M68" s="32"/>
      <c r="N68" s="32"/>
      <c r="O68" s="32"/>
      <c r="P68" s="32"/>
      <c r="Q68" s="32"/>
      <c r="R68" s="32"/>
      <c r="S68" s="32"/>
      <c r="T68" s="32"/>
      <c r="U68" s="32"/>
      <c r="V68" s="32"/>
      <c r="W68" s="32"/>
      <c r="X68" s="32"/>
      <c r="Y68" s="32"/>
      <c r="Z68" s="32"/>
    </row>
    <row r="69" ht="144.0" customHeight="1">
      <c r="A69" s="198" t="str">
        <f>'High Risk Non-Compliant'!B25</f>
        <v>CONS-03</v>
      </c>
      <c r="B69" s="199" t="str">
        <f>'High Risk Non-Compliant'!C25</f>
        <v>Will the consultant require access to hardware in the Institution's data centers?</v>
      </c>
      <c r="C69" s="3"/>
      <c r="D69" s="200" t="str">
        <f>'High Risk Non-Compliant'!D25</f>
        <v/>
      </c>
      <c r="E69" s="2"/>
      <c r="F69" s="3"/>
      <c r="G69" s="111" t="str">
        <f>VLOOKUP(A69,'High Risk Non-Compliant'!B:K,$H$48,FALSE)</f>
        <v>#N/A</v>
      </c>
      <c r="H69" s="111" t="str">
        <f>VLOOKUP(G69,'Crosswalk Detail'!A:B,2,FALSE)</f>
        <v>#N/A</v>
      </c>
      <c r="I69" s="32"/>
      <c r="J69" s="32"/>
      <c r="K69" s="32"/>
      <c r="L69" s="32"/>
      <c r="M69" s="32"/>
      <c r="N69" s="32"/>
      <c r="O69" s="32"/>
      <c r="P69" s="32"/>
      <c r="Q69" s="32"/>
      <c r="R69" s="32"/>
      <c r="S69" s="32"/>
      <c r="T69" s="32"/>
      <c r="U69" s="32"/>
      <c r="V69" s="32"/>
      <c r="W69" s="32"/>
      <c r="X69" s="32"/>
      <c r="Y69" s="32"/>
      <c r="Z69" s="32"/>
    </row>
    <row r="70" ht="144.0" customHeight="1">
      <c r="A70" s="198" t="str">
        <f>'High Risk Non-Compliant'!B26</f>
        <v>CONS-04</v>
      </c>
      <c r="B70" s="199" t="str">
        <f>'High Risk Non-Compliant'!C26</f>
        <v>Will the consultant require an account within the Institution's domain (@*.edu)?</v>
      </c>
      <c r="C70" s="3"/>
      <c r="D70" s="200" t="str">
        <f>'High Risk Non-Compliant'!D26</f>
        <v/>
      </c>
      <c r="E70" s="2"/>
      <c r="F70" s="3"/>
      <c r="G70" s="111" t="str">
        <f>VLOOKUP(A70,'High Risk Non-Compliant'!B:K,$H$48,FALSE)</f>
        <v>#N/A</v>
      </c>
      <c r="H70" s="111" t="str">
        <f>VLOOKUP(G70,'Crosswalk Detail'!A:B,2,FALSE)</f>
        <v>#N/A</v>
      </c>
      <c r="I70" s="32"/>
      <c r="J70" s="32"/>
      <c r="K70" s="32"/>
      <c r="L70" s="32"/>
      <c r="M70" s="32"/>
      <c r="N70" s="32"/>
      <c r="O70" s="32"/>
      <c r="P70" s="32"/>
      <c r="Q70" s="32"/>
      <c r="R70" s="32"/>
      <c r="S70" s="32"/>
      <c r="T70" s="32"/>
      <c r="U70" s="32"/>
      <c r="V70" s="32"/>
      <c r="W70" s="32"/>
      <c r="X70" s="32"/>
      <c r="Y70" s="32"/>
      <c r="Z70" s="32"/>
    </row>
    <row r="71" ht="144.0" customHeight="1">
      <c r="A71" s="198" t="str">
        <f>'High Risk Non-Compliant'!B27</f>
        <v>CONS-05</v>
      </c>
      <c r="B71" s="199" t="str">
        <f>'High Risk Non-Compliant'!C27</f>
        <v>Has the consultant received training on [sensitive, HIPAA, PCI, etc.] data handling?</v>
      </c>
      <c r="C71" s="3"/>
      <c r="D71" s="200" t="str">
        <f>'High Risk Non-Compliant'!D27</f>
        <v/>
      </c>
      <c r="E71" s="2"/>
      <c r="F71" s="3"/>
      <c r="G71" s="111" t="str">
        <f>VLOOKUP(A71,'High Risk Non-Compliant'!B:K,$H$48,FALSE)</f>
        <v>#N/A</v>
      </c>
      <c r="H71" s="111" t="str">
        <f>VLOOKUP(G71,'Crosswalk Detail'!A:B,2,FALSE)</f>
        <v>#N/A</v>
      </c>
      <c r="I71" s="32"/>
      <c r="J71" s="32"/>
      <c r="K71" s="32"/>
      <c r="L71" s="32"/>
      <c r="M71" s="32"/>
      <c r="N71" s="32"/>
      <c r="O71" s="32"/>
      <c r="P71" s="32"/>
      <c r="Q71" s="32"/>
      <c r="R71" s="32"/>
      <c r="S71" s="32"/>
      <c r="T71" s="32"/>
      <c r="U71" s="32"/>
      <c r="V71" s="32"/>
      <c r="W71" s="32"/>
      <c r="X71" s="32"/>
      <c r="Y71" s="32"/>
      <c r="Z71" s="32"/>
    </row>
    <row r="72" ht="144.0" customHeight="1">
      <c r="A72" s="198" t="str">
        <f>'High Risk Non-Compliant'!B28</f>
        <v>CONS-06</v>
      </c>
      <c r="B72" s="199" t="str">
        <f>'High Risk Non-Compliant'!C28</f>
        <v>Will any data be transferred to the consultant's possession?</v>
      </c>
      <c r="C72" s="3"/>
      <c r="D72" s="200" t="str">
        <f>'High Risk Non-Compliant'!D28</f>
        <v/>
      </c>
      <c r="E72" s="2"/>
      <c r="F72" s="3"/>
      <c r="G72" s="111" t="str">
        <f>VLOOKUP(A72,'High Risk Non-Compliant'!B:K,$H$48,FALSE)</f>
        <v>#N/A</v>
      </c>
      <c r="H72" s="111" t="str">
        <f>VLOOKUP(G72,'Crosswalk Detail'!A:B,2,FALSE)</f>
        <v>#N/A</v>
      </c>
      <c r="I72" s="32"/>
      <c r="J72" s="32"/>
      <c r="K72" s="32"/>
      <c r="L72" s="32"/>
      <c r="M72" s="32"/>
      <c r="N72" s="32"/>
      <c r="O72" s="32"/>
      <c r="P72" s="32"/>
      <c r="Q72" s="32"/>
      <c r="R72" s="32"/>
      <c r="S72" s="32"/>
      <c r="T72" s="32"/>
      <c r="U72" s="32"/>
      <c r="V72" s="32"/>
      <c r="W72" s="32"/>
      <c r="X72" s="32"/>
      <c r="Y72" s="32"/>
      <c r="Z72" s="32"/>
    </row>
    <row r="73" ht="144.0" customHeight="1">
      <c r="A73" s="198" t="str">
        <f>'High Risk Non-Compliant'!B29</f>
        <v>CONS-08</v>
      </c>
      <c r="B73" s="199" t="str">
        <f>'High Risk Non-Compliant'!C29</f>
        <v>Will the consultant need remote access to the Institution's network or systems?</v>
      </c>
      <c r="C73" s="3"/>
      <c r="D73" s="200" t="str">
        <f>'High Risk Non-Compliant'!D29</f>
        <v/>
      </c>
      <c r="E73" s="2"/>
      <c r="F73" s="3"/>
      <c r="G73" s="111" t="str">
        <f>VLOOKUP(A73,'High Risk Non-Compliant'!B:K,$H$48,FALSE)</f>
        <v>#N/A</v>
      </c>
      <c r="H73" s="111" t="str">
        <f>VLOOKUP(G73,'Crosswalk Detail'!A:B,2,FALSE)</f>
        <v>#N/A</v>
      </c>
      <c r="I73" s="32"/>
      <c r="J73" s="32"/>
      <c r="K73" s="32"/>
      <c r="L73" s="32"/>
      <c r="M73" s="32"/>
      <c r="N73" s="32"/>
      <c r="O73" s="32"/>
      <c r="P73" s="32"/>
      <c r="Q73" s="32"/>
      <c r="R73" s="32"/>
      <c r="S73" s="32"/>
      <c r="T73" s="32"/>
      <c r="U73" s="32"/>
      <c r="V73" s="32"/>
      <c r="W73" s="32"/>
      <c r="X73" s="32"/>
      <c r="Y73" s="32"/>
      <c r="Z73" s="32"/>
    </row>
    <row r="74" ht="144.0" customHeight="1">
      <c r="A74" s="198" t="str">
        <f>'High Risk Non-Compliant'!B30</f>
        <v>APPL-01</v>
      </c>
      <c r="B74" s="199" t="str">
        <f>'High Risk Non-Compliant'!C30</f>
        <v>Do you support role-based access control (RBAC) for end-users?</v>
      </c>
      <c r="C74" s="3"/>
      <c r="D74" s="200" t="str">
        <f>'High Risk Non-Compliant'!D30</f>
        <v/>
      </c>
      <c r="E74" s="2"/>
      <c r="F74" s="3"/>
      <c r="G74" s="111" t="str">
        <f>VLOOKUP(A74,'High Risk Non-Compliant'!B:K,$H$48,FALSE)</f>
        <v>#N/A</v>
      </c>
      <c r="H74" s="111" t="str">
        <f>VLOOKUP(G74,'Crosswalk Detail'!A:B,2,FALSE)</f>
        <v>#N/A</v>
      </c>
      <c r="I74" s="32"/>
      <c r="J74" s="32"/>
      <c r="K74" s="32"/>
      <c r="L74" s="32"/>
      <c r="M74" s="32"/>
      <c r="N74" s="32"/>
      <c r="O74" s="32"/>
      <c r="P74" s="32"/>
      <c r="Q74" s="32"/>
      <c r="R74" s="32"/>
      <c r="S74" s="32"/>
      <c r="T74" s="32"/>
      <c r="U74" s="32"/>
      <c r="V74" s="32"/>
      <c r="W74" s="32"/>
      <c r="X74" s="32"/>
      <c r="Y74" s="32"/>
      <c r="Z74" s="32"/>
    </row>
    <row r="75" ht="144.0" customHeight="1">
      <c r="A75" s="198" t="str">
        <f>'High Risk Non-Compliant'!B31</f>
        <v>APPL-02</v>
      </c>
      <c r="B75" s="199" t="str">
        <f>'High Risk Non-Compliant'!C31</f>
        <v>Do you support role-based access control (RBAC) for system administrators?</v>
      </c>
      <c r="C75" s="3"/>
      <c r="D75" s="200" t="str">
        <f>'High Risk Non-Compliant'!D31</f>
        <v/>
      </c>
      <c r="E75" s="2"/>
      <c r="F75" s="3"/>
      <c r="G75" s="111" t="str">
        <f>VLOOKUP(A75,'High Risk Non-Compliant'!B:K,$H$48,FALSE)</f>
        <v>#N/A</v>
      </c>
      <c r="H75" s="111" t="str">
        <f>VLOOKUP(G75,'Crosswalk Detail'!A:B,2,FALSE)</f>
        <v>#N/A</v>
      </c>
      <c r="I75" s="32"/>
      <c r="J75" s="32"/>
      <c r="K75" s="32"/>
      <c r="L75" s="32"/>
      <c r="M75" s="32"/>
      <c r="N75" s="32"/>
      <c r="O75" s="32"/>
      <c r="P75" s="32"/>
      <c r="Q75" s="32"/>
      <c r="R75" s="32"/>
      <c r="S75" s="32"/>
      <c r="T75" s="32"/>
      <c r="U75" s="32"/>
      <c r="V75" s="32"/>
      <c r="W75" s="32"/>
      <c r="X75" s="32"/>
      <c r="Y75" s="32"/>
      <c r="Z75" s="32"/>
    </row>
    <row r="76" ht="144.0" customHeight="1">
      <c r="A76" s="198" t="str">
        <f>'High Risk Non-Compliant'!B32</f>
        <v>APPL-03</v>
      </c>
      <c r="B76" s="199" t="str">
        <f>'High Risk Non-Compliant'!C32</f>
        <v>Can employees access customer data remotely?</v>
      </c>
      <c r="C76" s="3"/>
      <c r="D76" s="200" t="str">
        <f>'High Risk Non-Compliant'!D32</f>
        <v/>
      </c>
      <c r="E76" s="2"/>
      <c r="F76" s="3"/>
      <c r="G76" s="111" t="str">
        <f>VLOOKUP(A76,'High Risk Non-Compliant'!B:K,$H$48,FALSE)</f>
        <v>#N/A</v>
      </c>
      <c r="H76" s="111" t="str">
        <f>VLOOKUP(G76,'Crosswalk Detail'!A:B,2,FALSE)</f>
        <v>#N/A</v>
      </c>
      <c r="I76" s="32"/>
      <c r="J76" s="32"/>
      <c r="K76" s="32"/>
      <c r="L76" s="32"/>
      <c r="M76" s="32"/>
      <c r="N76" s="32"/>
      <c r="O76" s="32"/>
      <c r="P76" s="32"/>
      <c r="Q76" s="32"/>
      <c r="R76" s="32"/>
      <c r="S76" s="32"/>
      <c r="T76" s="32"/>
      <c r="U76" s="32"/>
      <c r="V76" s="32"/>
      <c r="W76" s="32"/>
      <c r="X76" s="32"/>
      <c r="Y76" s="32"/>
      <c r="Z76" s="32"/>
    </row>
    <row r="77" ht="144.0" customHeight="1">
      <c r="A77" s="198" t="str">
        <f>'High Risk Non-Compliant'!B33</f>
        <v>APPL-04</v>
      </c>
      <c r="B77" s="199" t="str">
        <f>'High Risk Non-Compliant'!C33</f>
        <v>Can you provide overall system and/or application architecture diagrams including a full description of the data communications architecture for all components of the system?</v>
      </c>
      <c r="C77" s="3"/>
      <c r="D77" s="200" t="str">
        <f>'High Risk Non-Compliant'!D33</f>
        <v>See System Diagram Tab</v>
      </c>
      <c r="E77" s="2"/>
      <c r="F77" s="3"/>
      <c r="G77" s="111" t="str">
        <f>VLOOKUP(A77,'High Risk Non-Compliant'!B:K,$H$48,FALSE)</f>
        <v>#N/A</v>
      </c>
      <c r="H77" s="111" t="str">
        <f>VLOOKUP(G77,'Crosswalk Detail'!A:B,2,FALSE)</f>
        <v>#N/A</v>
      </c>
      <c r="I77" s="32"/>
      <c r="J77" s="32"/>
      <c r="K77" s="32"/>
      <c r="L77" s="32"/>
      <c r="M77" s="32"/>
      <c r="N77" s="32"/>
      <c r="O77" s="32"/>
      <c r="P77" s="32"/>
      <c r="Q77" s="32"/>
      <c r="R77" s="32"/>
      <c r="S77" s="32"/>
      <c r="T77" s="32"/>
      <c r="U77" s="32"/>
      <c r="V77" s="32"/>
      <c r="W77" s="32"/>
      <c r="X77" s="32"/>
      <c r="Y77" s="32"/>
      <c r="Z77" s="32"/>
    </row>
    <row r="78" ht="144.0" customHeight="1">
      <c r="A78" s="198" t="str">
        <f>'High Risk Non-Compliant'!B34</f>
        <v>APPL-05</v>
      </c>
      <c r="B78" s="199" t="str">
        <f>'High Risk Non-Compliant'!C34</f>
        <v>Does the system provide data input validation and error messages? </v>
      </c>
      <c r="C78" s="3"/>
      <c r="D78" s="200" t="str">
        <f>'High Risk Non-Compliant'!D34</f>
        <v/>
      </c>
      <c r="E78" s="2"/>
      <c r="F78" s="3"/>
      <c r="G78" s="111" t="str">
        <f>VLOOKUP(A78,'High Risk Non-Compliant'!B:K,$H$48,FALSE)</f>
        <v>#N/A</v>
      </c>
      <c r="H78" s="111" t="str">
        <f>VLOOKUP(G78,'Crosswalk Detail'!A:B,2,FALSE)</f>
        <v>#N/A</v>
      </c>
      <c r="I78" s="32"/>
      <c r="J78" s="32"/>
      <c r="K78" s="32"/>
      <c r="L78" s="32"/>
      <c r="M78" s="32"/>
      <c r="N78" s="32"/>
      <c r="O78" s="32"/>
      <c r="P78" s="32"/>
      <c r="Q78" s="32"/>
      <c r="R78" s="32"/>
      <c r="S78" s="32"/>
      <c r="T78" s="32"/>
      <c r="U78" s="32"/>
      <c r="V78" s="32"/>
      <c r="W78" s="32"/>
      <c r="X78" s="32"/>
      <c r="Y78" s="32"/>
      <c r="Z78" s="32"/>
    </row>
    <row r="79" ht="144.0" customHeight="1">
      <c r="A79" s="198" t="str">
        <f>'High Risk Non-Compliant'!B35</f>
        <v>APPL-06</v>
      </c>
      <c r="B79" s="199" t="str">
        <f>'High Risk Non-Compliant'!C35</f>
        <v>Do you employ a single-tenant environment? </v>
      </c>
      <c r="C79" s="3"/>
      <c r="D79" s="200" t="str">
        <f>'High Risk Non-Compliant'!D35</f>
        <v/>
      </c>
      <c r="E79" s="2"/>
      <c r="F79" s="3"/>
      <c r="G79" s="111" t="str">
        <f>VLOOKUP(A79,'High Risk Non-Compliant'!B:K,$H$48,FALSE)</f>
        <v>#N/A</v>
      </c>
      <c r="H79" s="111" t="str">
        <f>VLOOKUP(G79,'Crosswalk Detail'!A:B,2,FALSE)</f>
        <v>#N/A</v>
      </c>
      <c r="I79" s="32"/>
      <c r="J79" s="32"/>
      <c r="K79" s="32"/>
      <c r="L79" s="32"/>
      <c r="M79" s="32"/>
      <c r="N79" s="32"/>
      <c r="O79" s="32"/>
      <c r="P79" s="32"/>
      <c r="Q79" s="32"/>
      <c r="R79" s="32"/>
      <c r="S79" s="32"/>
      <c r="T79" s="32"/>
      <c r="U79" s="32"/>
      <c r="V79" s="32"/>
      <c r="W79" s="32"/>
      <c r="X79" s="32"/>
      <c r="Y79" s="32"/>
      <c r="Z79" s="32"/>
    </row>
    <row r="80" ht="144.0" customHeight="1">
      <c r="A80" s="198" t="str">
        <f>'High Risk Non-Compliant'!B36</f>
        <v>APPL-07</v>
      </c>
      <c r="B80" s="199" t="str">
        <f>'High Risk Non-Compliant'!C36</f>
        <v>What operating system(s) is/are leveraged by the system(s)/application(s) that will have access to institution's data?</v>
      </c>
      <c r="C80" s="3"/>
      <c r="D80" s="200" t="str">
        <f>'High Risk Non-Compliant'!D36</f>
        <v/>
      </c>
      <c r="E80" s="2"/>
      <c r="F80" s="3"/>
      <c r="G80" s="111" t="str">
        <f>VLOOKUP(A80,'High Risk Non-Compliant'!B:K,$H$48,FALSE)</f>
        <v>#N/A</v>
      </c>
      <c r="H80" s="111" t="str">
        <f>VLOOKUP(G80,'Crosswalk Detail'!A:B,2,FALSE)</f>
        <v>#N/A</v>
      </c>
      <c r="I80" s="32"/>
      <c r="J80" s="32"/>
      <c r="K80" s="32"/>
      <c r="L80" s="32"/>
      <c r="M80" s="32"/>
      <c r="N80" s="32"/>
      <c r="O80" s="32"/>
      <c r="P80" s="32"/>
      <c r="Q80" s="32"/>
      <c r="R80" s="32"/>
      <c r="S80" s="32"/>
      <c r="T80" s="32"/>
      <c r="U80" s="32"/>
      <c r="V80" s="32"/>
      <c r="W80" s="32"/>
      <c r="X80" s="32"/>
      <c r="Y80" s="32"/>
      <c r="Z80" s="32"/>
    </row>
    <row r="81" ht="144.0" customHeight="1">
      <c r="A81" s="198" t="str">
        <f>'High Risk Non-Compliant'!B37</f>
        <v>APPL-08</v>
      </c>
      <c r="B81" s="199" t="str">
        <f>'High Risk Non-Compliant'!C37</f>
        <v>Have you or any third party you contract with that may have access or allow access to the institution's data experienced a breach?</v>
      </c>
      <c r="C81" s="3"/>
      <c r="D81" s="200" t="str">
        <f>'High Risk Non-Compliant'!D37</f>
        <v/>
      </c>
      <c r="E81" s="2"/>
      <c r="F81" s="3"/>
      <c r="G81" s="111" t="str">
        <f>VLOOKUP(A81,'High Risk Non-Compliant'!B:K,$H$48,FALSE)</f>
        <v>#N/A</v>
      </c>
      <c r="H81" s="111" t="str">
        <f>VLOOKUP(G81,'Crosswalk Detail'!A:B,2,FALSE)</f>
        <v>#N/A</v>
      </c>
      <c r="I81" s="32"/>
      <c r="J81" s="32"/>
      <c r="K81" s="32"/>
      <c r="L81" s="32"/>
      <c r="M81" s="32"/>
      <c r="N81" s="32"/>
      <c r="O81" s="32"/>
      <c r="P81" s="32"/>
      <c r="Q81" s="32"/>
      <c r="R81" s="32"/>
      <c r="S81" s="32"/>
      <c r="T81" s="32"/>
      <c r="U81" s="32"/>
      <c r="V81" s="32"/>
      <c r="W81" s="32"/>
      <c r="X81" s="32"/>
      <c r="Y81" s="32"/>
      <c r="Z81" s="32"/>
    </row>
    <row r="82" ht="144.0" customHeight="1">
      <c r="A82" s="198" t="str">
        <f>'High Risk Non-Compliant'!B38</f>
        <v>APPL-09</v>
      </c>
      <c r="B82" s="199" t="str">
        <f>'High Risk Non-Compliant'!C38</f>
        <v>Describe or provide a reference to additional software/products necessary to implement a functional system on either the backend or user-interface side of the system. </v>
      </c>
      <c r="C82" s="3"/>
      <c r="D82" s="200" t="str">
        <f>'High Risk Non-Compliant'!D38</f>
        <v/>
      </c>
      <c r="E82" s="2"/>
      <c r="F82" s="3"/>
      <c r="G82" s="111" t="str">
        <f>VLOOKUP(A82,'High Risk Non-Compliant'!B:K,$H$48,FALSE)</f>
        <v>#N/A</v>
      </c>
      <c r="H82" s="111" t="str">
        <f>VLOOKUP(G82,'Crosswalk Detail'!A:B,2,FALSE)</f>
        <v>#N/A</v>
      </c>
      <c r="I82" s="32"/>
      <c r="J82" s="32"/>
      <c r="K82" s="32"/>
      <c r="L82" s="32"/>
      <c r="M82" s="32"/>
      <c r="N82" s="32"/>
      <c r="O82" s="32"/>
      <c r="P82" s="32"/>
      <c r="Q82" s="32"/>
      <c r="R82" s="32"/>
      <c r="S82" s="32"/>
      <c r="T82" s="32"/>
      <c r="U82" s="32"/>
      <c r="V82" s="32"/>
      <c r="W82" s="32"/>
      <c r="X82" s="32"/>
      <c r="Y82" s="32"/>
      <c r="Z82" s="32"/>
    </row>
    <row r="83" ht="144.0" customHeight="1">
      <c r="A83" s="198" t="str">
        <f>'High Risk Non-Compliant'!B39</f>
        <v>APPL-10</v>
      </c>
      <c r="B83" s="199" t="str">
        <f>'High Risk Non-Compliant'!C39</f>
        <v>Describe or provide a reference to the overall system and/or application architecture(s), including appropriate diagrams. Include a full description of the data communications architecture for all components of the system. </v>
      </c>
      <c r="C83" s="3"/>
      <c r="D83" s="200" t="str">
        <f>'High Risk Non-Compliant'!D39</f>
        <v/>
      </c>
      <c r="E83" s="2"/>
      <c r="F83" s="3"/>
      <c r="G83" s="111" t="str">
        <f>VLOOKUP(A83,'High Risk Non-Compliant'!B:K,$H$48,FALSE)</f>
        <v>#N/A</v>
      </c>
      <c r="H83" s="111" t="str">
        <f>VLOOKUP(G83,'Crosswalk Detail'!A:B,2,FALSE)</f>
        <v>#N/A</v>
      </c>
      <c r="I83" s="32"/>
      <c r="J83" s="32"/>
      <c r="K83" s="32"/>
      <c r="L83" s="32"/>
      <c r="M83" s="32"/>
      <c r="N83" s="32"/>
      <c r="O83" s="32"/>
      <c r="P83" s="32"/>
      <c r="Q83" s="32"/>
      <c r="R83" s="32"/>
      <c r="S83" s="32"/>
      <c r="T83" s="32"/>
      <c r="U83" s="32"/>
      <c r="V83" s="32"/>
      <c r="W83" s="32"/>
      <c r="X83" s="32"/>
      <c r="Y83" s="32"/>
      <c r="Z83" s="32"/>
    </row>
    <row r="84" ht="144.0" customHeight="1">
      <c r="A84" s="198" t="str">
        <f>'High Risk Non-Compliant'!B40</f>
        <v>APPL-11</v>
      </c>
      <c r="B84" s="199" t="str">
        <f>'High Risk Non-Compliant'!C40</f>
        <v>Are databases used in the system segregated from front-end systems? (e.g. web and application servers)</v>
      </c>
      <c r="C84" s="3"/>
      <c r="D84" s="200" t="str">
        <f>'High Risk Non-Compliant'!D40</f>
        <v>Database cluster is segregated on separate vm. </v>
      </c>
      <c r="E84" s="2"/>
      <c r="F84" s="3"/>
      <c r="G84" s="111" t="str">
        <f>VLOOKUP(A84,'High Risk Non-Compliant'!B:K,$H$48,FALSE)</f>
        <v>#N/A</v>
      </c>
      <c r="H84" s="111" t="str">
        <f>VLOOKUP(G84,'Crosswalk Detail'!A:B,2,FALSE)</f>
        <v>#N/A</v>
      </c>
      <c r="I84" s="32"/>
      <c r="J84" s="32"/>
      <c r="K84" s="32"/>
      <c r="L84" s="32"/>
      <c r="M84" s="32"/>
      <c r="N84" s="32"/>
      <c r="O84" s="32"/>
      <c r="P84" s="32"/>
      <c r="Q84" s="32"/>
      <c r="R84" s="32"/>
      <c r="S84" s="32"/>
      <c r="T84" s="32"/>
      <c r="U84" s="32"/>
      <c r="V84" s="32"/>
      <c r="W84" s="32"/>
      <c r="X84" s="32"/>
      <c r="Y84" s="32"/>
      <c r="Z84" s="32"/>
    </row>
    <row r="85" ht="144.0" customHeight="1">
      <c r="A85" s="198" t="str">
        <f>'High Risk Non-Compliant'!B41</f>
        <v>APPL-12</v>
      </c>
      <c r="B85" s="199" t="str">
        <f>'High Risk Non-Compliant'!C41</f>
        <v>Describe or provide a reference to all web-enabled features and functionality of the system (i.e. accessed via a web-based interface). </v>
      </c>
      <c r="C85" s="3"/>
      <c r="D85" s="200" t="str">
        <f>'High Risk Non-Compliant'!D41</f>
        <v/>
      </c>
      <c r="E85" s="2"/>
      <c r="F85" s="3"/>
      <c r="G85" s="111" t="str">
        <f>VLOOKUP(A85,'High Risk Non-Compliant'!B:K,$H$48,FALSE)</f>
        <v>#N/A</v>
      </c>
      <c r="H85" s="111" t="str">
        <f>VLOOKUP(G85,'Crosswalk Detail'!A:B,2,FALSE)</f>
        <v>#N/A</v>
      </c>
      <c r="I85" s="32"/>
      <c r="J85" s="32"/>
      <c r="K85" s="32"/>
      <c r="L85" s="32"/>
      <c r="M85" s="32"/>
      <c r="N85" s="32"/>
      <c r="O85" s="32"/>
      <c r="P85" s="32"/>
      <c r="Q85" s="32"/>
      <c r="R85" s="32"/>
      <c r="S85" s="32"/>
      <c r="T85" s="32"/>
      <c r="U85" s="32"/>
      <c r="V85" s="32"/>
      <c r="W85" s="32"/>
      <c r="X85" s="32"/>
      <c r="Y85" s="32"/>
      <c r="Z85" s="32"/>
    </row>
    <row r="86" ht="144.0" customHeight="1">
      <c r="A86" s="198" t="str">
        <f>'High Risk Non-Compliant'!B42</f>
        <v>APPL-13</v>
      </c>
      <c r="B86" s="199" t="str">
        <f>'High Risk Non-Compliant'!C42</f>
        <v>Are there any OS and/or web-browser combinations that are not currently supported?</v>
      </c>
      <c r="C86" s="3"/>
      <c r="D86" s="200" t="str">
        <f>'High Risk Non-Compliant'!D42</f>
        <v/>
      </c>
      <c r="E86" s="2"/>
      <c r="F86" s="3"/>
      <c r="G86" s="111" t="str">
        <f>VLOOKUP(A86,'High Risk Non-Compliant'!B:K,$H$48,FALSE)</f>
        <v>#N/A</v>
      </c>
      <c r="H86" s="111" t="str">
        <f>VLOOKUP(G86,'Crosswalk Detail'!A:B,2,FALSE)</f>
        <v>#N/A</v>
      </c>
      <c r="I86" s="32"/>
      <c r="J86" s="32"/>
      <c r="K86" s="32"/>
      <c r="L86" s="32"/>
      <c r="M86" s="32"/>
      <c r="N86" s="32"/>
      <c r="O86" s="32"/>
      <c r="P86" s="32"/>
      <c r="Q86" s="32"/>
      <c r="R86" s="32"/>
      <c r="S86" s="32"/>
      <c r="T86" s="32"/>
      <c r="U86" s="32"/>
      <c r="V86" s="32"/>
      <c r="W86" s="32"/>
      <c r="X86" s="32"/>
      <c r="Y86" s="32"/>
      <c r="Z86" s="32"/>
    </row>
    <row r="87" ht="144.0" customHeight="1">
      <c r="A87" s="198" t="str">
        <f>'High Risk Non-Compliant'!B43</f>
        <v>APPL-14</v>
      </c>
      <c r="B87" s="199" t="str">
        <f>'High Risk Non-Compliant'!C43</f>
        <v>Can your system take advantage of mobile and/or GPS enabled mobile devices?  </v>
      </c>
      <c r="C87" s="3"/>
      <c r="D87" s="200" t="str">
        <f>'High Risk Non-Compliant'!D43</f>
        <v>https encryption, SSO enabled</v>
      </c>
      <c r="E87" s="2"/>
      <c r="F87" s="3"/>
      <c r="G87" s="111" t="str">
        <f>VLOOKUP(A87,'High Risk Non-Compliant'!B:K,$H$48,FALSE)</f>
        <v>#N/A</v>
      </c>
      <c r="H87" s="111" t="str">
        <f>VLOOKUP(G87,'Crosswalk Detail'!A:B,2,FALSE)</f>
        <v>#N/A</v>
      </c>
      <c r="I87" s="32"/>
      <c r="J87" s="32"/>
      <c r="K87" s="32"/>
      <c r="L87" s="32"/>
      <c r="M87" s="32"/>
      <c r="N87" s="32"/>
      <c r="O87" s="32"/>
      <c r="P87" s="32"/>
      <c r="Q87" s="32"/>
      <c r="R87" s="32"/>
      <c r="S87" s="32"/>
      <c r="T87" s="32"/>
      <c r="U87" s="32"/>
      <c r="V87" s="32"/>
      <c r="W87" s="32"/>
      <c r="X87" s="32"/>
      <c r="Y87" s="32"/>
      <c r="Z87" s="32"/>
    </row>
    <row r="88" ht="144.0" customHeight="1">
      <c r="A88" s="198" t="str">
        <f>'High Risk Non-Compliant'!B44</f>
        <v>APPL-15</v>
      </c>
      <c r="B88" s="199" t="str">
        <f>'High Risk Non-Compliant'!C44</f>
        <v>Describe or provide a reference to the facilities available in the system to provide separation of duties between security administration and system administration functions.</v>
      </c>
      <c r="C88" s="3"/>
      <c r="D88" s="200" t="str">
        <f>'High Risk Non-Compliant'!D44</f>
        <v/>
      </c>
      <c r="E88" s="2"/>
      <c r="F88" s="3"/>
      <c r="G88" s="111" t="str">
        <f>VLOOKUP(A88,'High Risk Non-Compliant'!B:K,$H$48,FALSE)</f>
        <v>#N/A</v>
      </c>
      <c r="H88" s="111" t="str">
        <f>VLOOKUP(G88,'Crosswalk Detail'!A:B,2,FALSE)</f>
        <v>#N/A</v>
      </c>
      <c r="I88" s="32"/>
      <c r="J88" s="32"/>
      <c r="K88" s="32"/>
      <c r="L88" s="32"/>
      <c r="M88" s="32"/>
      <c r="N88" s="32"/>
      <c r="O88" s="32"/>
      <c r="P88" s="32"/>
      <c r="Q88" s="32"/>
      <c r="R88" s="32"/>
      <c r="S88" s="32"/>
      <c r="T88" s="32"/>
      <c r="U88" s="32"/>
      <c r="V88" s="32"/>
      <c r="W88" s="32"/>
      <c r="X88" s="32"/>
      <c r="Y88" s="32"/>
      <c r="Z88" s="32"/>
    </row>
    <row r="89" ht="144.0" customHeight="1">
      <c r="A89" s="198" t="str">
        <f>'High Risk Non-Compliant'!B45</f>
        <v>APPL-16</v>
      </c>
      <c r="B89" s="199" t="str">
        <f>'High Risk Non-Compliant'!C45</f>
        <v>Describe or provide a reference that details how administrator access is handled (e.g. provisioning, principle of least privilege, deprovisioning, etc.)</v>
      </c>
      <c r="C89" s="3"/>
      <c r="D89" s="200" t="str">
        <f>'High Risk Non-Compliant'!D45</f>
        <v/>
      </c>
      <c r="E89" s="2"/>
      <c r="F89" s="3"/>
      <c r="G89" s="111" t="str">
        <f>VLOOKUP(A89,'High Risk Non-Compliant'!B:K,$H$48,FALSE)</f>
        <v>#N/A</v>
      </c>
      <c r="H89" s="111" t="str">
        <f>VLOOKUP(G89,'Crosswalk Detail'!A:B,2,FALSE)</f>
        <v>#N/A</v>
      </c>
      <c r="I89" s="32"/>
      <c r="J89" s="32"/>
      <c r="K89" s="32"/>
      <c r="L89" s="32"/>
      <c r="M89" s="32"/>
      <c r="N89" s="32"/>
      <c r="O89" s="32"/>
      <c r="P89" s="32"/>
      <c r="Q89" s="32"/>
      <c r="R89" s="32"/>
      <c r="S89" s="32"/>
      <c r="T89" s="32"/>
      <c r="U89" s="32"/>
      <c r="V89" s="32"/>
      <c r="W89" s="32"/>
      <c r="X89" s="32"/>
      <c r="Y89" s="32"/>
      <c r="Z89" s="32"/>
    </row>
    <row r="90" ht="144.0" customHeight="1">
      <c r="A90" s="198" t="str">
        <f>'High Risk Non-Compliant'!B46</f>
        <v>APPL-17</v>
      </c>
      <c r="B90" s="199" t="str">
        <f>'High Risk Non-Compliant'!C46</f>
        <v>Does the system provide data input validation and error messages? </v>
      </c>
      <c r="C90" s="3"/>
      <c r="D90" s="200" t="str">
        <f>'High Risk Non-Compliant'!D46</f>
        <v/>
      </c>
      <c r="E90" s="2"/>
      <c r="F90" s="3"/>
      <c r="G90" s="111" t="str">
        <f>VLOOKUP(A90,'High Risk Non-Compliant'!B:K,$H$48,FALSE)</f>
        <v>#N/A</v>
      </c>
      <c r="H90" s="111" t="str">
        <f>VLOOKUP(G90,'Crosswalk Detail'!A:B,2,FALSE)</f>
        <v>#N/A</v>
      </c>
      <c r="I90" s="32"/>
      <c r="J90" s="32"/>
      <c r="K90" s="32"/>
      <c r="L90" s="32"/>
      <c r="M90" s="32"/>
      <c r="N90" s="32"/>
      <c r="O90" s="32"/>
      <c r="P90" s="32"/>
      <c r="Q90" s="32"/>
      <c r="R90" s="32"/>
      <c r="S90" s="32"/>
      <c r="T90" s="32"/>
      <c r="U90" s="32"/>
      <c r="V90" s="32"/>
      <c r="W90" s="32"/>
      <c r="X90" s="32"/>
      <c r="Y90" s="32"/>
      <c r="Z90" s="32"/>
    </row>
    <row r="91" ht="144.0" customHeight="1">
      <c r="A91" s="198" t="str">
        <f>'High Risk Non-Compliant'!B47</f>
        <v>APPL-18</v>
      </c>
      <c r="B91" s="199" t="str">
        <f>'High Risk Non-Compliant'!C47</f>
        <v>Describe or provide references explaining how tertiary services are redundant (i.e. DNS, ISP, etc…).</v>
      </c>
      <c r="C91" s="3"/>
      <c r="D91" s="200" t="str">
        <f>'High Risk Non-Compliant'!D47</f>
        <v/>
      </c>
      <c r="E91" s="2"/>
      <c r="F91" s="3"/>
      <c r="G91" s="111" t="str">
        <f>VLOOKUP(A91,'High Risk Non-Compliant'!B:K,$H$48,FALSE)</f>
        <v>#N/A</v>
      </c>
      <c r="H91" s="111" t="str">
        <f>VLOOKUP(G91,'Crosswalk Detail'!A:B,2,FALSE)</f>
        <v>#N/A</v>
      </c>
      <c r="I91" s="32"/>
      <c r="J91" s="32"/>
      <c r="K91" s="32"/>
      <c r="L91" s="32"/>
      <c r="M91" s="32"/>
      <c r="N91" s="32"/>
      <c r="O91" s="32"/>
      <c r="P91" s="32"/>
      <c r="Q91" s="32"/>
      <c r="R91" s="32"/>
      <c r="S91" s="32"/>
      <c r="T91" s="32"/>
      <c r="U91" s="32"/>
      <c r="V91" s="32"/>
      <c r="W91" s="32"/>
      <c r="X91" s="32"/>
      <c r="Y91" s="32"/>
      <c r="Z91" s="32"/>
    </row>
    <row r="92" ht="144.0" customHeight="1">
      <c r="A92" s="198" t="str">
        <f>'High Risk Non-Compliant'!B48</f>
        <v>AAAI-01</v>
      </c>
      <c r="B92" s="199" t="str">
        <f>'High Risk Non-Compliant'!C48</f>
        <v>Can you enforce password/passphrase aging requirements?</v>
      </c>
      <c r="C92" s="3"/>
      <c r="D92" s="200" t="str">
        <f>'High Risk Non-Compliant'!D48</f>
        <v/>
      </c>
      <c r="E92" s="2"/>
      <c r="F92" s="3"/>
      <c r="G92" s="111" t="str">
        <f>VLOOKUP(A92,'High Risk Non-Compliant'!B:K,$H$48,FALSE)</f>
        <v>#N/A</v>
      </c>
      <c r="H92" s="111" t="str">
        <f>VLOOKUP(G92,'Crosswalk Detail'!A:B,2,FALSE)</f>
        <v>#N/A</v>
      </c>
      <c r="I92" s="32"/>
      <c r="J92" s="32"/>
      <c r="K92" s="32"/>
      <c r="L92" s="32"/>
      <c r="M92" s="32"/>
      <c r="N92" s="32"/>
      <c r="O92" s="32"/>
      <c r="P92" s="32"/>
      <c r="Q92" s="32"/>
      <c r="R92" s="32"/>
      <c r="S92" s="32"/>
      <c r="T92" s="32"/>
      <c r="U92" s="32"/>
      <c r="V92" s="32"/>
      <c r="W92" s="32"/>
      <c r="X92" s="32"/>
      <c r="Y92" s="32"/>
      <c r="Z92" s="32"/>
    </row>
    <row r="93" ht="144.0" customHeight="1">
      <c r="A93" s="198" t="str">
        <f>'High Risk Non-Compliant'!B49</f>
        <v>AAAI-02</v>
      </c>
      <c r="B93" s="199" t="str">
        <f>'High Risk Non-Compliant'!C49</f>
        <v>Can you enforce password/passphrase complexity requirements [provided by the institution]?</v>
      </c>
      <c r="C93" s="3"/>
      <c r="D93" s="200" t="str">
        <f>'High Risk Non-Compliant'!D49</f>
        <v/>
      </c>
      <c r="E93" s="2"/>
      <c r="F93" s="3"/>
      <c r="G93" s="111" t="str">
        <f>VLOOKUP(A93,'High Risk Non-Compliant'!B:K,$H$48,FALSE)</f>
        <v>#N/A</v>
      </c>
      <c r="H93" s="111" t="str">
        <f>VLOOKUP(G93,'Crosswalk Detail'!A:B,2,FALSE)</f>
        <v>#N/A</v>
      </c>
      <c r="I93" s="32"/>
      <c r="J93" s="32"/>
      <c r="K93" s="32"/>
      <c r="L93" s="32"/>
      <c r="M93" s="32"/>
      <c r="N93" s="32"/>
      <c r="O93" s="32"/>
      <c r="P93" s="32"/>
      <c r="Q93" s="32"/>
      <c r="R93" s="32"/>
      <c r="S93" s="32"/>
      <c r="T93" s="32"/>
      <c r="U93" s="32"/>
      <c r="V93" s="32"/>
      <c r="W93" s="32"/>
      <c r="X93" s="32"/>
      <c r="Y93" s="32"/>
      <c r="Z93" s="32"/>
    </row>
    <row r="94" ht="144.0" customHeight="1">
      <c r="A94" s="198" t="str">
        <f>'High Risk Non-Compliant'!B50</f>
        <v>AAAI-03</v>
      </c>
      <c r="B94" s="199" t="str">
        <f>'High Risk Non-Compliant'!C50</f>
        <v>Does the system have password complexity or length limitations and/or restrictions?</v>
      </c>
      <c r="C94" s="3"/>
      <c r="D94" s="200" t="str">
        <f>'High Risk Non-Compliant'!D50</f>
        <v/>
      </c>
      <c r="E94" s="2"/>
      <c r="F94" s="3"/>
      <c r="G94" s="111" t="str">
        <f>VLOOKUP(A94,'High Risk Non-Compliant'!B:K,$H$48,FALSE)</f>
        <v>#N/A</v>
      </c>
      <c r="H94" s="111" t="str">
        <f>VLOOKUP(G94,'Crosswalk Detail'!A:B,2,FALSE)</f>
        <v>#N/A</v>
      </c>
      <c r="I94" s="32"/>
      <c r="J94" s="32"/>
      <c r="K94" s="32"/>
      <c r="L94" s="32"/>
      <c r="M94" s="32"/>
      <c r="N94" s="32"/>
      <c r="O94" s="32"/>
      <c r="P94" s="32"/>
      <c r="Q94" s="32"/>
      <c r="R94" s="32"/>
      <c r="S94" s="32"/>
      <c r="T94" s="32"/>
      <c r="U94" s="32"/>
      <c r="V94" s="32"/>
      <c r="W94" s="32"/>
      <c r="X94" s="32"/>
      <c r="Y94" s="32"/>
      <c r="Z94" s="32"/>
    </row>
    <row r="95" ht="144.0" customHeight="1">
      <c r="A95" s="198" t="str">
        <f>'High Risk Non-Compliant'!B51</f>
        <v>AAAI-04</v>
      </c>
      <c r="B95" s="199" t="str">
        <f>'High Risk Non-Compliant'!C51</f>
        <v>Do you have documented password/passphrase reset procedures that are currently implemented in the system and/or customer support?</v>
      </c>
      <c r="C95" s="3"/>
      <c r="D95" s="200" t="str">
        <f>'High Risk Non-Compliant'!D51</f>
        <v/>
      </c>
      <c r="E95" s="2"/>
      <c r="F95" s="3"/>
      <c r="G95" s="111" t="str">
        <f>VLOOKUP(A95,'High Risk Non-Compliant'!B:K,$H$48,FALSE)</f>
        <v>#N/A</v>
      </c>
      <c r="H95" s="111" t="str">
        <f>VLOOKUP(G95,'Crosswalk Detail'!A:B,2,FALSE)</f>
        <v>#N/A</v>
      </c>
      <c r="I95" s="32"/>
      <c r="J95" s="32"/>
      <c r="K95" s="32"/>
      <c r="L95" s="32"/>
      <c r="M95" s="32"/>
      <c r="N95" s="32"/>
      <c r="O95" s="32"/>
      <c r="P95" s="32"/>
      <c r="Q95" s="32"/>
      <c r="R95" s="32"/>
      <c r="S95" s="32"/>
      <c r="T95" s="32"/>
      <c r="U95" s="32"/>
      <c r="V95" s="32"/>
      <c r="W95" s="32"/>
      <c r="X95" s="32"/>
      <c r="Y95" s="32"/>
      <c r="Z95" s="32"/>
    </row>
    <row r="96" ht="144.0" customHeight="1">
      <c r="A96" s="198" t="str">
        <f>'High Risk Non-Compliant'!B52</f>
        <v>AAAI-05</v>
      </c>
      <c r="B96" s="199" t="str">
        <f>'High Risk Non-Compliant'!C52</f>
        <v>Does your web-based interface support authentication, including standards-based single-sign-on? (e.g. InCommon)</v>
      </c>
      <c r="C96" s="3"/>
      <c r="D96" s="200" t="str">
        <f>'High Risk Non-Compliant'!D52</f>
        <v>SSO SAML 2.0</v>
      </c>
      <c r="E96" s="2"/>
      <c r="F96" s="3"/>
      <c r="G96" s="111" t="str">
        <f>VLOOKUP(A96,'High Risk Non-Compliant'!B:K,$H$48,FALSE)</f>
        <v>#N/A</v>
      </c>
      <c r="H96" s="111" t="str">
        <f>VLOOKUP(G96,'Crosswalk Detail'!A:B,2,FALSE)</f>
        <v>#N/A</v>
      </c>
      <c r="I96" s="32"/>
      <c r="J96" s="32"/>
      <c r="K96" s="32"/>
      <c r="L96" s="32"/>
      <c r="M96" s="32"/>
      <c r="N96" s="32"/>
      <c r="O96" s="32"/>
      <c r="P96" s="32"/>
      <c r="Q96" s="32"/>
      <c r="R96" s="32"/>
      <c r="S96" s="32"/>
      <c r="T96" s="32"/>
      <c r="U96" s="32"/>
      <c r="V96" s="32"/>
      <c r="W96" s="32"/>
      <c r="X96" s="32"/>
      <c r="Y96" s="32"/>
      <c r="Z96" s="32"/>
    </row>
    <row r="97" ht="144.0" customHeight="1">
      <c r="A97" s="198" t="str">
        <f>'High Risk Non-Compliant'!B53</f>
        <v>AAAI-06</v>
      </c>
      <c r="B97" s="199" t="str">
        <f>'High Risk Non-Compliant'!C53</f>
        <v>Are there any passwords/passphrases hard coded into your systems or products?</v>
      </c>
      <c r="C97" s="3"/>
      <c r="D97" s="200" t="str">
        <f>'High Risk Non-Compliant'!D53</f>
        <v/>
      </c>
      <c r="E97" s="2"/>
      <c r="F97" s="3"/>
      <c r="G97" s="111" t="str">
        <f>VLOOKUP(A97,'High Risk Non-Compliant'!B:K,$H$48,FALSE)</f>
        <v>#N/A</v>
      </c>
      <c r="H97" s="111" t="str">
        <f>VLOOKUP(G97,'Crosswalk Detail'!A:B,2,FALSE)</f>
        <v>#N/A</v>
      </c>
      <c r="I97" s="32"/>
      <c r="J97" s="32"/>
      <c r="K97" s="32"/>
      <c r="L97" s="32"/>
      <c r="M97" s="32"/>
      <c r="N97" s="32"/>
      <c r="O97" s="32"/>
      <c r="P97" s="32"/>
      <c r="Q97" s="32"/>
      <c r="R97" s="32"/>
      <c r="S97" s="32"/>
      <c r="T97" s="32"/>
      <c r="U97" s="32"/>
      <c r="V97" s="32"/>
      <c r="W97" s="32"/>
      <c r="X97" s="32"/>
      <c r="Y97" s="32"/>
      <c r="Z97" s="32"/>
    </row>
    <row r="98" ht="144.0" customHeight="1">
      <c r="A98" s="198" t="str">
        <f>'High Risk Non-Compliant'!B54</f>
        <v>AAAI-07</v>
      </c>
      <c r="B98" s="199" t="str">
        <f>'High Risk Non-Compliant'!C54</f>
        <v>Are user account passwords/passphrases visible in administration modules?</v>
      </c>
      <c r="C98" s="3"/>
      <c r="D98" s="200" t="str">
        <f>'High Risk Non-Compliant'!D54</f>
        <v/>
      </c>
      <c r="E98" s="2"/>
      <c r="F98" s="3"/>
      <c r="G98" s="111" t="str">
        <f>VLOOKUP(A98,'High Risk Non-Compliant'!B:K,$H$48,FALSE)</f>
        <v>#N/A</v>
      </c>
      <c r="H98" s="111" t="str">
        <f>VLOOKUP(G98,'Crosswalk Detail'!A:B,2,FALSE)</f>
        <v>#N/A</v>
      </c>
      <c r="I98" s="32"/>
      <c r="J98" s="32"/>
      <c r="K98" s="32"/>
      <c r="L98" s="32"/>
      <c r="M98" s="32"/>
      <c r="N98" s="32"/>
      <c r="O98" s="32"/>
      <c r="P98" s="32"/>
      <c r="Q98" s="32"/>
      <c r="R98" s="32"/>
      <c r="S98" s="32"/>
      <c r="T98" s="32"/>
      <c r="U98" s="32"/>
      <c r="V98" s="32"/>
      <c r="W98" s="32"/>
      <c r="X98" s="32"/>
      <c r="Y98" s="32"/>
      <c r="Z98" s="32"/>
    </row>
    <row r="99" ht="144.0" customHeight="1">
      <c r="A99" s="198" t="str">
        <f>'High Risk Non-Compliant'!B55</f>
        <v>AAAI-08</v>
      </c>
      <c r="B99" s="199" t="str">
        <f>'High Risk Non-Compliant'!C55</f>
        <v>Are user account passwords/passphrases stored encrypted?</v>
      </c>
      <c r="C99" s="3"/>
      <c r="D99" s="200" t="str">
        <f>'High Risk Non-Compliant'!D55</f>
        <v/>
      </c>
      <c r="E99" s="2"/>
      <c r="F99" s="3"/>
      <c r="G99" s="111" t="str">
        <f>VLOOKUP(A99,'High Risk Non-Compliant'!B:K,$H$48,FALSE)</f>
        <v>#N/A</v>
      </c>
      <c r="H99" s="111" t="str">
        <f>VLOOKUP(G99,'Crosswalk Detail'!A:B,2,FALSE)</f>
        <v>#N/A</v>
      </c>
      <c r="I99" s="32"/>
      <c r="J99" s="32"/>
      <c r="K99" s="32"/>
      <c r="L99" s="32"/>
      <c r="M99" s="32"/>
      <c r="N99" s="32"/>
      <c r="O99" s="32"/>
      <c r="P99" s="32"/>
      <c r="Q99" s="32"/>
      <c r="R99" s="32"/>
      <c r="S99" s="32"/>
      <c r="T99" s="32"/>
      <c r="U99" s="32"/>
      <c r="V99" s="32"/>
      <c r="W99" s="32"/>
      <c r="X99" s="32"/>
      <c r="Y99" s="32"/>
      <c r="Z99" s="32"/>
    </row>
    <row r="100" ht="144.0" customHeight="1">
      <c r="A100" s="198" t="str">
        <f>'High Risk Non-Compliant'!B56</f>
        <v>AAAI-09</v>
      </c>
      <c r="B100" s="199" t="str">
        <f>'High Risk Non-Compliant'!C56</f>
        <v>Does your application and/or user-frontend/portal support multi-factor authentication? (e.g. Duo, Google Authenticator, OTP, etc.)</v>
      </c>
      <c r="C100" s="3"/>
      <c r="D100" s="200" t="str">
        <f>'High Risk Non-Compliant'!D56</f>
        <v>We support google and SMS</v>
      </c>
      <c r="E100" s="2"/>
      <c r="F100" s="3"/>
      <c r="G100" s="111" t="str">
        <f>VLOOKUP(A100,'High Risk Non-Compliant'!B:K,$H$48,FALSE)</f>
        <v>#N/A</v>
      </c>
      <c r="H100" s="111" t="str">
        <f>VLOOKUP(G100,'Crosswalk Detail'!A:B,2,FALSE)</f>
        <v>#N/A</v>
      </c>
      <c r="I100" s="32"/>
      <c r="J100" s="32"/>
      <c r="K100" s="32"/>
      <c r="L100" s="32"/>
      <c r="M100" s="32"/>
      <c r="N100" s="32"/>
      <c r="O100" s="32"/>
      <c r="P100" s="32"/>
      <c r="Q100" s="32"/>
      <c r="R100" s="32"/>
      <c r="S100" s="32"/>
      <c r="T100" s="32"/>
      <c r="U100" s="32"/>
      <c r="V100" s="32"/>
      <c r="W100" s="32"/>
      <c r="X100" s="32"/>
      <c r="Y100" s="32"/>
      <c r="Z100" s="32"/>
    </row>
    <row r="101" ht="144.0" customHeight="1">
      <c r="A101" s="198" t="str">
        <f>'High Risk Non-Compliant'!B57</f>
        <v>AAAI-10</v>
      </c>
      <c r="B101" s="199" t="str">
        <f>'High Risk Non-Compliant'!C57</f>
        <v>Does your application support integration with other authentication and authorization systems?  List which ones (such as Active Directory, Kerberos and what version) in Additional Info?</v>
      </c>
      <c r="C101" s="3"/>
      <c r="D101" s="200" t="str">
        <f>'High Risk Non-Compliant'!D57</f>
        <v>We can support LDAP but we prefer SSO</v>
      </c>
      <c r="E101" s="2"/>
      <c r="F101" s="3"/>
      <c r="G101" s="111" t="str">
        <f>VLOOKUP(A101,'High Risk Non-Compliant'!B:K,$H$48,FALSE)</f>
        <v>#N/A</v>
      </c>
      <c r="H101" s="111" t="str">
        <f>VLOOKUP(G101,'Crosswalk Detail'!A:B,2,FALSE)</f>
        <v>#N/A</v>
      </c>
      <c r="I101" s="32"/>
      <c r="J101" s="32"/>
      <c r="K101" s="32"/>
      <c r="L101" s="32"/>
      <c r="M101" s="32"/>
      <c r="N101" s="32"/>
      <c r="O101" s="32"/>
      <c r="P101" s="32"/>
      <c r="Q101" s="32"/>
      <c r="R101" s="32"/>
      <c r="S101" s="32"/>
      <c r="T101" s="32"/>
      <c r="U101" s="32"/>
      <c r="V101" s="32"/>
      <c r="W101" s="32"/>
      <c r="X101" s="32"/>
      <c r="Y101" s="32"/>
      <c r="Z101" s="32"/>
    </row>
    <row r="102" ht="144.0" customHeight="1">
      <c r="A102" s="198" t="str">
        <f>'High Risk Non-Compliant'!B58</f>
        <v>AAAI-11</v>
      </c>
      <c r="B102" s="199" t="str">
        <f>'High Risk Non-Compliant'!C58</f>
        <v>Will any external authentication or authorization system be utilized by an application with access to the institution's data?</v>
      </c>
      <c r="C102" s="3"/>
      <c r="D102" s="200" t="str">
        <f>'High Risk Non-Compliant'!D58</f>
        <v/>
      </c>
      <c r="E102" s="2"/>
      <c r="F102" s="3"/>
      <c r="G102" s="111" t="str">
        <f>VLOOKUP(A102,'High Risk Non-Compliant'!B:K,$H$48,FALSE)</f>
        <v>#N/A</v>
      </c>
      <c r="H102" s="111" t="str">
        <f>VLOOKUP(G102,'Crosswalk Detail'!A:B,2,FALSE)</f>
        <v>#N/A</v>
      </c>
      <c r="I102" s="32"/>
      <c r="J102" s="32"/>
      <c r="K102" s="32"/>
      <c r="L102" s="32"/>
      <c r="M102" s="32"/>
      <c r="N102" s="32"/>
      <c r="O102" s="32"/>
      <c r="P102" s="32"/>
      <c r="Q102" s="32"/>
      <c r="R102" s="32"/>
      <c r="S102" s="32"/>
      <c r="T102" s="32"/>
      <c r="U102" s="32"/>
      <c r="V102" s="32"/>
      <c r="W102" s="32"/>
      <c r="X102" s="32"/>
      <c r="Y102" s="32"/>
      <c r="Z102" s="32"/>
    </row>
    <row r="103" ht="144.0" customHeight="1">
      <c r="A103" s="198" t="str">
        <f>'High Risk Non-Compliant'!B59</f>
        <v>AAAI-12</v>
      </c>
      <c r="B103" s="199" t="str">
        <f>'High Risk Non-Compliant'!C59</f>
        <v>Does the system (servers/infrastructure) support external authentication services (e.g. Active Directory, LDAP) in place of local authentication?</v>
      </c>
      <c r="C103" s="3"/>
      <c r="D103" s="200" t="str">
        <f>'High Risk Non-Compliant'!D59</f>
        <v/>
      </c>
      <c r="E103" s="2"/>
      <c r="F103" s="3"/>
      <c r="G103" s="111" t="str">
        <f>VLOOKUP(A103,'High Risk Non-Compliant'!B:K,$H$48,FALSE)</f>
        <v>#N/A</v>
      </c>
      <c r="H103" s="111" t="str">
        <f>VLOOKUP(G103,'Crosswalk Detail'!A:B,2,FALSE)</f>
        <v>#N/A</v>
      </c>
      <c r="I103" s="32"/>
      <c r="J103" s="32"/>
      <c r="K103" s="32"/>
      <c r="L103" s="32"/>
      <c r="M103" s="32"/>
      <c r="N103" s="32"/>
      <c r="O103" s="32"/>
      <c r="P103" s="32"/>
      <c r="Q103" s="32"/>
      <c r="R103" s="32"/>
      <c r="S103" s="32"/>
      <c r="T103" s="32"/>
      <c r="U103" s="32"/>
      <c r="V103" s="32"/>
      <c r="W103" s="32"/>
      <c r="X103" s="32"/>
      <c r="Y103" s="32"/>
      <c r="Z103" s="32"/>
    </row>
    <row r="104" ht="144.0" customHeight="1">
      <c r="A104" s="198" t="str">
        <f>'High Risk Non-Compliant'!B60</f>
        <v>AAAI-13</v>
      </c>
      <c r="B104" s="199" t="str">
        <f>'High Risk Non-Compliant'!C60</f>
        <v>Does the system operate in a mixed authentication mode (i.e. external and local authentication)?</v>
      </c>
      <c r="C104" s="3"/>
      <c r="D104" s="200" t="str">
        <f>'High Risk Non-Compliant'!D60</f>
        <v/>
      </c>
      <c r="E104" s="2"/>
      <c r="F104" s="3"/>
      <c r="G104" s="111" t="str">
        <f>VLOOKUP(A104,'High Risk Non-Compliant'!B:K,$H$48,FALSE)</f>
        <v>#N/A</v>
      </c>
      <c r="H104" s="111" t="str">
        <f>VLOOKUP(G104,'Crosswalk Detail'!A:B,2,FALSE)</f>
        <v>#N/A</v>
      </c>
      <c r="I104" s="32"/>
      <c r="J104" s="32"/>
      <c r="K104" s="32"/>
      <c r="L104" s="32"/>
      <c r="M104" s="32"/>
      <c r="N104" s="32"/>
      <c r="O104" s="32"/>
      <c r="P104" s="32"/>
      <c r="Q104" s="32"/>
      <c r="R104" s="32"/>
      <c r="S104" s="32"/>
      <c r="T104" s="32"/>
      <c r="U104" s="32"/>
      <c r="V104" s="32"/>
      <c r="W104" s="32"/>
      <c r="X104" s="32"/>
      <c r="Y104" s="32"/>
      <c r="Z104" s="32"/>
    </row>
    <row r="105" ht="144.0" customHeight="1">
      <c r="A105" s="198" t="str">
        <f>'High Risk Non-Compliant'!B61</f>
        <v>AAAI-14</v>
      </c>
      <c r="B105" s="199" t="str">
        <f>'High Risk Non-Compliant'!C61</f>
        <v>Will any external authentication or authorization system be utilized by a system with access to institution data?</v>
      </c>
      <c r="C105" s="3"/>
      <c r="D105" s="200" t="str">
        <f>'High Risk Non-Compliant'!D61</f>
        <v/>
      </c>
      <c r="E105" s="2"/>
      <c r="F105" s="3"/>
      <c r="G105" s="111" t="str">
        <f>VLOOKUP(A105,'High Risk Non-Compliant'!B:K,$H$48,FALSE)</f>
        <v>#N/A</v>
      </c>
      <c r="H105" s="111" t="str">
        <f>VLOOKUP(G105,'Crosswalk Detail'!A:B,2,FALSE)</f>
        <v>#N/A</v>
      </c>
      <c r="I105" s="32"/>
      <c r="J105" s="32"/>
      <c r="K105" s="32"/>
      <c r="L105" s="32"/>
      <c r="M105" s="32"/>
      <c r="N105" s="32"/>
      <c r="O105" s="32"/>
      <c r="P105" s="32"/>
      <c r="Q105" s="32"/>
      <c r="R105" s="32"/>
      <c r="S105" s="32"/>
      <c r="T105" s="32"/>
      <c r="U105" s="32"/>
      <c r="V105" s="32"/>
      <c r="W105" s="32"/>
      <c r="X105" s="32"/>
      <c r="Y105" s="32"/>
      <c r="Z105" s="32"/>
    </row>
    <row r="106" ht="144.0" customHeight="1">
      <c r="A106" s="198" t="str">
        <f>'High Risk Non-Compliant'!B62</f>
        <v>AAAI-15</v>
      </c>
      <c r="B106" s="199" t="str">
        <f>'High Risk Non-Compliant'!C62</f>
        <v>Are audit logs available that include AT LEAST all of the following; login, logout, actions performed, and source IP address?</v>
      </c>
      <c r="C106" s="3"/>
      <c r="D106" s="200" t="str">
        <f>'High Risk Non-Compliant'!D62</f>
        <v/>
      </c>
      <c r="E106" s="2"/>
      <c r="F106" s="3"/>
      <c r="G106" s="111" t="str">
        <f>VLOOKUP(A106,'High Risk Non-Compliant'!B:K,$H$48,FALSE)</f>
        <v>#N/A</v>
      </c>
      <c r="H106" s="111" t="str">
        <f>VLOOKUP(G106,'Crosswalk Detail'!A:B,2,FALSE)</f>
        <v>#N/A</v>
      </c>
      <c r="I106" s="32"/>
      <c r="J106" s="32"/>
      <c r="K106" s="32"/>
      <c r="L106" s="32"/>
      <c r="M106" s="32"/>
      <c r="N106" s="32"/>
      <c r="O106" s="32"/>
      <c r="P106" s="32"/>
      <c r="Q106" s="32"/>
      <c r="R106" s="32"/>
      <c r="S106" s="32"/>
      <c r="T106" s="32"/>
      <c r="U106" s="32"/>
      <c r="V106" s="32"/>
      <c r="W106" s="32"/>
      <c r="X106" s="32"/>
      <c r="Y106" s="32"/>
      <c r="Z106" s="32"/>
    </row>
    <row r="107" ht="144.0" customHeight="1">
      <c r="A107" s="198" t="str">
        <f>'High Risk Non-Compliant'!B63</f>
        <v>AAAI-16</v>
      </c>
      <c r="B107" s="199" t="str">
        <f>'High Risk Non-Compliant'!C63</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C107" s="3"/>
      <c r="D107" s="200" t="str">
        <f>'High Risk Non-Compliant'!D63</f>
        <v/>
      </c>
      <c r="E107" s="2"/>
      <c r="F107" s="3"/>
      <c r="G107" s="111" t="str">
        <f>VLOOKUP(A107,'High Risk Non-Compliant'!B:K,$H$48,FALSE)</f>
        <v>#N/A</v>
      </c>
      <c r="H107" s="111" t="str">
        <f>VLOOKUP(G107,'Crosswalk Detail'!A:B,2,FALSE)</f>
        <v>#N/A</v>
      </c>
      <c r="I107" s="32"/>
      <c r="J107" s="32"/>
      <c r="K107" s="32"/>
      <c r="L107" s="32"/>
      <c r="M107" s="32"/>
      <c r="N107" s="32"/>
      <c r="O107" s="32"/>
      <c r="P107" s="32"/>
      <c r="Q107" s="32"/>
      <c r="R107" s="32"/>
      <c r="S107" s="32"/>
      <c r="T107" s="32"/>
      <c r="U107" s="32"/>
      <c r="V107" s="32"/>
      <c r="W107" s="32"/>
      <c r="X107" s="32"/>
      <c r="Y107" s="32"/>
      <c r="Z107" s="32"/>
    </row>
    <row r="108" ht="144.0" customHeight="1">
      <c r="A108" s="198" t="str">
        <f>'High Risk Non-Compliant'!B64</f>
        <v>AAAI-17</v>
      </c>
      <c r="B108" s="199" t="str">
        <f>'High Risk Non-Compliant'!C64</f>
        <v>Describe or provide a reference to the retention period for those logs, how logs are protected, and whether they are accessible to the customer (and if so, how).</v>
      </c>
      <c r="C108" s="3"/>
      <c r="D108" s="200" t="str">
        <f>'High Risk Non-Compliant'!D64</f>
        <v/>
      </c>
      <c r="E108" s="2"/>
      <c r="F108" s="3"/>
      <c r="G108" s="111" t="str">
        <f>VLOOKUP(A108,'High Risk Non-Compliant'!B:K,$H$48,FALSE)</f>
        <v>#N/A</v>
      </c>
      <c r="H108" s="111" t="str">
        <f>VLOOKUP(G108,'Crosswalk Detail'!A:B,2,FALSE)</f>
        <v>#N/A</v>
      </c>
      <c r="I108" s="32"/>
      <c r="J108" s="32"/>
      <c r="K108" s="32"/>
      <c r="L108" s="32"/>
      <c r="M108" s="32"/>
      <c r="N108" s="32"/>
      <c r="O108" s="32"/>
      <c r="P108" s="32"/>
      <c r="Q108" s="32"/>
      <c r="R108" s="32"/>
      <c r="S108" s="32"/>
      <c r="T108" s="32"/>
      <c r="U108" s="32"/>
      <c r="V108" s="32"/>
      <c r="W108" s="32"/>
      <c r="X108" s="32"/>
      <c r="Y108" s="32"/>
      <c r="Z108" s="32"/>
    </row>
    <row r="109" ht="144.0" customHeight="1">
      <c r="A109" s="198" t="str">
        <f>'High Risk Non-Compliant'!B65</f>
        <v>BCPL-01</v>
      </c>
      <c r="B109" s="199" t="str">
        <f>'High Risk Non-Compliant'!C65</f>
        <v>Describe or provide a reference to your Business Continuity Plan (BCP).</v>
      </c>
      <c r="C109" s="3"/>
      <c r="D109" s="200" t="str">
        <f>'High Risk Non-Compliant'!D65</f>
        <v/>
      </c>
      <c r="E109" s="2"/>
      <c r="F109" s="3"/>
      <c r="G109" s="111" t="str">
        <f>VLOOKUP(A109,'High Risk Non-Compliant'!B:K,$H$48,FALSE)</f>
        <v>#N/A</v>
      </c>
      <c r="H109" s="111" t="str">
        <f>VLOOKUP(G109,'Crosswalk Detail'!A:B,2,FALSE)</f>
        <v>#N/A</v>
      </c>
      <c r="I109" s="32"/>
      <c r="J109" s="32"/>
      <c r="K109" s="32"/>
      <c r="L109" s="32"/>
      <c r="M109" s="32"/>
      <c r="N109" s="32"/>
      <c r="O109" s="32"/>
      <c r="P109" s="32"/>
      <c r="Q109" s="32"/>
      <c r="R109" s="32"/>
      <c r="S109" s="32"/>
      <c r="T109" s="32"/>
      <c r="U109" s="32"/>
      <c r="V109" s="32"/>
      <c r="W109" s="32"/>
      <c r="X109" s="32"/>
      <c r="Y109" s="32"/>
      <c r="Z109" s="32"/>
    </row>
    <row r="110" ht="144.0" customHeight="1">
      <c r="A110" s="198" t="str">
        <f>'High Risk Non-Compliant'!B66</f>
        <v>BCPL-02</v>
      </c>
      <c r="B110" s="199" t="str">
        <f>'High Risk Non-Compliant'!C66</f>
        <v>May the Institution review your BCP and supporting documentation?</v>
      </c>
      <c r="C110" s="3"/>
      <c r="D110" s="200" t="str">
        <f>'High Risk Non-Compliant'!D66</f>
        <v>Only under NDA.</v>
      </c>
      <c r="E110" s="2"/>
      <c r="F110" s="3"/>
      <c r="G110" s="111" t="str">
        <f>VLOOKUP(A110,'High Risk Non-Compliant'!B:K,$H$48,FALSE)</f>
        <v>#N/A</v>
      </c>
      <c r="H110" s="111" t="str">
        <f>VLOOKUP(G110,'Crosswalk Detail'!A:B,2,FALSE)</f>
        <v>#N/A</v>
      </c>
      <c r="I110" s="32"/>
      <c r="J110" s="32"/>
      <c r="K110" s="32"/>
      <c r="L110" s="32"/>
      <c r="M110" s="32"/>
      <c r="N110" s="32"/>
      <c r="O110" s="32"/>
      <c r="P110" s="32"/>
      <c r="Q110" s="32"/>
      <c r="R110" s="32"/>
      <c r="S110" s="32"/>
      <c r="T110" s="32"/>
      <c r="U110" s="32"/>
      <c r="V110" s="32"/>
      <c r="W110" s="32"/>
      <c r="X110" s="32"/>
      <c r="Y110" s="32"/>
      <c r="Z110" s="32"/>
    </row>
    <row r="111" ht="144.0" customHeight="1">
      <c r="A111" s="198" t="str">
        <f>'High Risk Non-Compliant'!B67</f>
        <v>BCPL-03</v>
      </c>
      <c r="B111" s="199" t="str">
        <f>'High Risk Non-Compliant'!C67</f>
        <v>Is an owner assigned who is responsible for the maintenance and review of the Business Continuity Plan?</v>
      </c>
      <c r="C111" s="3"/>
      <c r="D111" s="200" t="str">
        <f>'High Risk Non-Compliant'!D67</f>
        <v>CTO is responsible for the creation, review, and updation of the BCP</v>
      </c>
      <c r="E111" s="2"/>
      <c r="F111" s="3"/>
      <c r="G111" s="111" t="str">
        <f>VLOOKUP(A111,'High Risk Non-Compliant'!B:K,$H$48,FALSE)</f>
        <v>#N/A</v>
      </c>
      <c r="H111" s="111" t="str">
        <f>VLOOKUP(G111,'Crosswalk Detail'!A:B,2,FALSE)</f>
        <v>#N/A</v>
      </c>
      <c r="I111" s="32"/>
      <c r="J111" s="32"/>
      <c r="K111" s="32"/>
      <c r="L111" s="32"/>
      <c r="M111" s="32"/>
      <c r="N111" s="32"/>
      <c r="O111" s="32"/>
      <c r="P111" s="32"/>
      <c r="Q111" s="32"/>
      <c r="R111" s="32"/>
      <c r="S111" s="32"/>
      <c r="T111" s="32"/>
      <c r="U111" s="32"/>
      <c r="V111" s="32"/>
      <c r="W111" s="32"/>
      <c r="X111" s="32"/>
      <c r="Y111" s="32"/>
      <c r="Z111" s="32"/>
    </row>
    <row r="112" ht="144.0" customHeight="1">
      <c r="A112" s="198" t="str">
        <f>'High Risk Non-Compliant'!B68</f>
        <v>BCPL-04</v>
      </c>
      <c r="B112" s="199" t="str">
        <f>'High Risk Non-Compliant'!C68</f>
        <v>Is there a defined problem/issue escalation plan in your BCP for impacted clients?</v>
      </c>
      <c r="C112" s="3"/>
      <c r="D112" s="200" t="str">
        <f>'High Risk Non-Compliant'!D68</f>
        <v/>
      </c>
      <c r="E112" s="2"/>
      <c r="F112" s="3"/>
      <c r="G112" s="111" t="str">
        <f>VLOOKUP(A112,'High Risk Non-Compliant'!B:K,$H$48,FALSE)</f>
        <v>#N/A</v>
      </c>
      <c r="H112" s="111" t="str">
        <f>VLOOKUP(G112,'Crosswalk Detail'!A:B,2,FALSE)</f>
        <v>#N/A</v>
      </c>
      <c r="I112" s="32"/>
      <c r="J112" s="32"/>
      <c r="K112" s="32"/>
      <c r="L112" s="32"/>
      <c r="M112" s="32"/>
      <c r="N112" s="32"/>
      <c r="O112" s="32"/>
      <c r="P112" s="32"/>
      <c r="Q112" s="32"/>
      <c r="R112" s="32"/>
      <c r="S112" s="32"/>
      <c r="T112" s="32"/>
      <c r="U112" s="32"/>
      <c r="V112" s="32"/>
      <c r="W112" s="32"/>
      <c r="X112" s="32"/>
      <c r="Y112" s="32"/>
      <c r="Z112" s="32"/>
    </row>
    <row r="113" ht="144.0" customHeight="1">
      <c r="A113" s="198" t="str">
        <f>'High Risk Non-Compliant'!B69</f>
        <v>BCPL-05</v>
      </c>
      <c r="B113" s="199" t="str">
        <f>'High Risk Non-Compliant'!C69</f>
        <v>Is there a documented communication plan in your BCP for impacted clients?</v>
      </c>
      <c r="C113" s="3"/>
      <c r="D113" s="200" t="str">
        <f>'High Risk Non-Compliant'!D69</f>
        <v>Affected clients will be notified within 24 hours of interventions taken per BCP</v>
      </c>
      <c r="E113" s="2"/>
      <c r="F113" s="3"/>
      <c r="G113" s="111" t="str">
        <f>VLOOKUP(A113,'High Risk Non-Compliant'!B:K,$H$48,FALSE)</f>
        <v>#N/A</v>
      </c>
      <c r="H113" s="111" t="str">
        <f>VLOOKUP(G113,'Crosswalk Detail'!A:B,2,FALSE)</f>
        <v>#N/A</v>
      </c>
      <c r="I113" s="32"/>
      <c r="J113" s="32"/>
      <c r="K113" s="32"/>
      <c r="L113" s="32"/>
      <c r="M113" s="32"/>
      <c r="N113" s="32"/>
      <c r="O113" s="32"/>
      <c r="P113" s="32"/>
      <c r="Q113" s="32"/>
      <c r="R113" s="32"/>
      <c r="S113" s="32"/>
      <c r="T113" s="32"/>
      <c r="U113" s="32"/>
      <c r="V113" s="32"/>
      <c r="W113" s="32"/>
      <c r="X113" s="32"/>
      <c r="Y113" s="32"/>
      <c r="Z113" s="32"/>
    </row>
    <row r="114" ht="144.0" customHeight="1">
      <c r="A114" s="198" t="str">
        <f>'High Risk Non-Compliant'!B70</f>
        <v>BCPL-06</v>
      </c>
      <c r="B114" s="199" t="str">
        <f>'High Risk Non-Compliant'!C70</f>
        <v>Are all components of the BCP reviewed at least annually and updated as needed to reflect change? </v>
      </c>
      <c r="C114" s="3"/>
      <c r="D114" s="200" t="str">
        <f>'High Risk Non-Compliant'!D70</f>
        <v>Quarterly and on demand as needed</v>
      </c>
      <c r="E114" s="2"/>
      <c r="F114" s="3"/>
      <c r="G114" s="111" t="str">
        <f>VLOOKUP(A114,'High Risk Non-Compliant'!B:K,$H$48,FALSE)</f>
        <v>#N/A</v>
      </c>
      <c r="H114" s="111" t="str">
        <f>VLOOKUP(G114,'Crosswalk Detail'!A:B,2,FALSE)</f>
        <v>#N/A</v>
      </c>
      <c r="I114" s="32"/>
      <c r="J114" s="32"/>
      <c r="K114" s="32"/>
      <c r="L114" s="32"/>
      <c r="M114" s="32"/>
      <c r="N114" s="32"/>
      <c r="O114" s="32"/>
      <c r="P114" s="32"/>
      <c r="Q114" s="32"/>
      <c r="R114" s="32"/>
      <c r="S114" s="32"/>
      <c r="T114" s="32"/>
      <c r="U114" s="32"/>
      <c r="V114" s="32"/>
      <c r="W114" s="32"/>
      <c r="X114" s="32"/>
      <c r="Y114" s="32"/>
      <c r="Z114" s="32"/>
    </row>
    <row r="115" ht="144.0" customHeight="1">
      <c r="A115" s="198" t="str">
        <f>'High Risk Non-Compliant'!B71</f>
        <v>BCPL-07</v>
      </c>
      <c r="B115" s="199" t="str">
        <f>'High Risk Non-Compliant'!C71</f>
        <v>Has your BCP been tested in the last year? </v>
      </c>
      <c r="C115" s="3"/>
      <c r="D115" s="200" t="str">
        <f>'High Risk Non-Compliant'!D71</f>
        <v>March 2019. Successfully passed automatic failover to second Google Region. </v>
      </c>
      <c r="E115" s="2"/>
      <c r="F115" s="3"/>
      <c r="G115" s="111" t="str">
        <f>VLOOKUP(A115,'High Risk Non-Compliant'!B:K,$H$48,FALSE)</f>
        <v>#N/A</v>
      </c>
      <c r="H115" s="111" t="str">
        <f>VLOOKUP(G115,'Crosswalk Detail'!A:B,2,FALSE)</f>
        <v>#N/A</v>
      </c>
      <c r="I115" s="32"/>
      <c r="J115" s="32"/>
      <c r="K115" s="32"/>
      <c r="L115" s="32"/>
      <c r="M115" s="32"/>
      <c r="N115" s="32"/>
      <c r="O115" s="32"/>
      <c r="P115" s="32"/>
      <c r="Q115" s="32"/>
      <c r="R115" s="32"/>
      <c r="S115" s="32"/>
      <c r="T115" s="32"/>
      <c r="U115" s="32"/>
      <c r="V115" s="32"/>
      <c r="W115" s="32"/>
      <c r="X115" s="32"/>
      <c r="Y115" s="32"/>
      <c r="Z115" s="32"/>
    </row>
    <row r="116" ht="144.0" customHeight="1">
      <c r="A116" s="198" t="str">
        <f>'High Risk Non-Compliant'!B72</f>
        <v>BCPL-08</v>
      </c>
      <c r="B116" s="199" t="str">
        <f>'High Risk Non-Compliant'!C72</f>
        <v>Does your organization conduct training and awareness activities to validate its employees understanding of their roles and responsibilities during a crisis?</v>
      </c>
      <c r="C116" s="3"/>
      <c r="D116" s="200" t="str">
        <f>'High Risk Non-Compliant'!D72</f>
        <v>Roles and responsibilities during crisis are defined</v>
      </c>
      <c r="E116" s="2"/>
      <c r="F116" s="3"/>
      <c r="G116" s="111" t="str">
        <f>VLOOKUP(A116,'High Risk Non-Compliant'!B:K,$H$48,FALSE)</f>
        <v>#N/A</v>
      </c>
      <c r="H116" s="111" t="str">
        <f>VLOOKUP(G116,'Crosswalk Detail'!A:B,2,FALSE)</f>
        <v>#N/A</v>
      </c>
      <c r="I116" s="32"/>
      <c r="J116" s="32"/>
      <c r="K116" s="32"/>
      <c r="L116" s="32"/>
      <c r="M116" s="32"/>
      <c r="N116" s="32"/>
      <c r="O116" s="32"/>
      <c r="P116" s="32"/>
      <c r="Q116" s="32"/>
      <c r="R116" s="32"/>
      <c r="S116" s="32"/>
      <c r="T116" s="32"/>
      <c r="U116" s="32"/>
      <c r="V116" s="32"/>
      <c r="W116" s="32"/>
      <c r="X116" s="32"/>
      <c r="Y116" s="32"/>
      <c r="Z116" s="32"/>
    </row>
    <row r="117" ht="144.0" customHeight="1">
      <c r="A117" s="198" t="str">
        <f>'High Risk Non-Compliant'!B73</f>
        <v>BCPL-09</v>
      </c>
      <c r="B117" s="199" t="str">
        <f>'High Risk Non-Compliant'!C73</f>
        <v>Are specific crisis management roles and responsibilities defined and documented?</v>
      </c>
      <c r="C117" s="3"/>
      <c r="D117" s="200" t="str">
        <f>'High Risk Non-Compliant'!D73</f>
        <v>Outlined in BCP</v>
      </c>
      <c r="E117" s="2"/>
      <c r="F117" s="3"/>
      <c r="G117" s="111" t="str">
        <f>VLOOKUP(A117,'High Risk Non-Compliant'!B:K,$H$48,FALSE)</f>
        <v>#N/A</v>
      </c>
      <c r="H117" s="111" t="str">
        <f>VLOOKUP(G117,'Crosswalk Detail'!A:B,2,FALSE)</f>
        <v>#N/A</v>
      </c>
      <c r="I117" s="32"/>
      <c r="J117" s="32"/>
      <c r="K117" s="32"/>
      <c r="L117" s="32"/>
      <c r="M117" s="32"/>
      <c r="N117" s="32"/>
      <c r="O117" s="32"/>
      <c r="P117" s="32"/>
      <c r="Q117" s="32"/>
      <c r="R117" s="32"/>
      <c r="S117" s="32"/>
      <c r="T117" s="32"/>
      <c r="U117" s="32"/>
      <c r="V117" s="32"/>
      <c r="W117" s="32"/>
      <c r="X117" s="32"/>
      <c r="Y117" s="32"/>
      <c r="Z117" s="32"/>
    </row>
    <row r="118" ht="144.0" customHeight="1">
      <c r="A118" s="198" t="str">
        <f>'High Risk Non-Compliant'!B74</f>
        <v>BCPL-10</v>
      </c>
      <c r="B118" s="199" t="str">
        <f>'High Risk Non-Compliant'!C74</f>
        <v>Does your organization have an alternative business site or a contracted Business Recovery provider?</v>
      </c>
      <c r="C118" s="3"/>
      <c r="D118" s="200" t="str">
        <f>'High Risk Non-Compliant'!D74</f>
        <v/>
      </c>
      <c r="E118" s="2"/>
      <c r="F118" s="3"/>
      <c r="G118" s="111" t="str">
        <f>VLOOKUP(A118,'High Risk Non-Compliant'!B:K,$H$48,FALSE)</f>
        <v>#N/A</v>
      </c>
      <c r="H118" s="111" t="str">
        <f>VLOOKUP(G118,'Crosswalk Detail'!A:B,2,FALSE)</f>
        <v>#N/A</v>
      </c>
      <c r="I118" s="32"/>
      <c r="J118" s="32"/>
      <c r="K118" s="32"/>
      <c r="L118" s="32"/>
      <c r="M118" s="32"/>
      <c r="N118" s="32"/>
      <c r="O118" s="32"/>
      <c r="P118" s="32"/>
      <c r="Q118" s="32"/>
      <c r="R118" s="32"/>
      <c r="S118" s="32"/>
      <c r="T118" s="32"/>
      <c r="U118" s="32"/>
      <c r="V118" s="32"/>
      <c r="W118" s="32"/>
      <c r="X118" s="32"/>
      <c r="Y118" s="32"/>
      <c r="Z118" s="32"/>
    </row>
    <row r="119" ht="144.0" customHeight="1">
      <c r="A119" s="198" t="str">
        <f>'High Risk Non-Compliant'!B75</f>
        <v>BCPL-11</v>
      </c>
      <c r="B119" s="199" t="str">
        <f>'High Risk Non-Compliant'!C75</f>
        <v>Does your organization conduct an annual test of relocating to an alternate site for business recovery purposes?</v>
      </c>
      <c r="C119" s="3"/>
      <c r="D119" s="200" t="str">
        <f>'High Risk Non-Compliant'!D75</f>
        <v>Once a year during Q1</v>
      </c>
      <c r="E119" s="2"/>
      <c r="F119" s="3"/>
      <c r="G119" s="111" t="str">
        <f>VLOOKUP(A119,'High Risk Non-Compliant'!B:K,$H$48,FALSE)</f>
        <v>#N/A</v>
      </c>
      <c r="H119" s="111" t="str">
        <f>VLOOKUP(G119,'Crosswalk Detail'!A:B,2,FALSE)</f>
        <v>#N/A</v>
      </c>
      <c r="I119" s="32"/>
      <c r="J119" s="32"/>
      <c r="K119" s="32"/>
      <c r="L119" s="32"/>
      <c r="M119" s="32"/>
      <c r="N119" s="32"/>
      <c r="O119" s="32"/>
      <c r="P119" s="32"/>
      <c r="Q119" s="32"/>
      <c r="R119" s="32"/>
      <c r="S119" s="32"/>
      <c r="T119" s="32"/>
      <c r="U119" s="32"/>
      <c r="V119" s="32"/>
      <c r="W119" s="32"/>
      <c r="X119" s="32"/>
      <c r="Y119" s="32"/>
      <c r="Z119" s="32"/>
    </row>
    <row r="120" ht="144.0" customHeight="1">
      <c r="A120" s="198" t="str">
        <f>'High Risk Non-Compliant'!B76</f>
        <v>BCPL-12</v>
      </c>
      <c r="B120" s="199" t="str">
        <f>'High Risk Non-Compliant'!C76</f>
        <v>Is this product a core service of your organization, and as such, the top priority during business continuity planning?</v>
      </c>
      <c r="C120" s="3"/>
      <c r="D120" s="200" t="str">
        <f>'High Risk Non-Compliant'!D76</f>
        <v/>
      </c>
      <c r="E120" s="2"/>
      <c r="F120" s="3"/>
      <c r="G120" s="111" t="str">
        <f>VLOOKUP(A120,'High Risk Non-Compliant'!B:K,$H$48,FALSE)</f>
        <v>#N/A</v>
      </c>
      <c r="H120" s="111" t="str">
        <f>VLOOKUP(G120,'Crosswalk Detail'!A:B,2,FALSE)</f>
        <v>#N/A</v>
      </c>
      <c r="I120" s="32"/>
      <c r="J120" s="32"/>
      <c r="K120" s="32"/>
      <c r="L120" s="32"/>
      <c r="M120" s="32"/>
      <c r="N120" s="32"/>
      <c r="O120" s="32"/>
      <c r="P120" s="32"/>
      <c r="Q120" s="32"/>
      <c r="R120" s="32"/>
      <c r="S120" s="32"/>
      <c r="T120" s="32"/>
      <c r="U120" s="32"/>
      <c r="V120" s="32"/>
      <c r="W120" s="32"/>
      <c r="X120" s="32"/>
      <c r="Y120" s="32"/>
      <c r="Z120" s="32"/>
    </row>
    <row r="121" ht="144.0" customHeight="1">
      <c r="A121" s="198" t="str">
        <f>'High Risk Non-Compliant'!B77</f>
        <v>CHNG-01</v>
      </c>
      <c r="B121" s="199" t="str">
        <f>'High Risk Non-Compliant'!C77</f>
        <v>Do you have a documented and currently followed change management process (CMP)? </v>
      </c>
      <c r="C121" s="3"/>
      <c r="D121" s="200" t="str">
        <f>'High Risk Non-Compliant'!D77</f>
        <v>(1) determine release objectives 
(2) approve release objectives 
(3) develop software and obtain approval on objectives 
(4) develop release schedule 
(5) obtain approval on release schedule 
(6) build, test, configure 
(7) approve release 
(8) develop communications for customers 
(9) release</v>
      </c>
      <c r="E121" s="2"/>
      <c r="F121" s="3"/>
      <c r="G121" s="111" t="str">
        <f>VLOOKUP(A121,'High Risk Non-Compliant'!B:K,$H$48,FALSE)</f>
        <v>#N/A</v>
      </c>
      <c r="H121" s="111" t="str">
        <f>VLOOKUP(G121,'Crosswalk Detail'!A:B,2,FALSE)</f>
        <v>#N/A</v>
      </c>
      <c r="I121" s="32"/>
      <c r="J121" s="32"/>
      <c r="K121" s="32"/>
      <c r="L121" s="32"/>
      <c r="M121" s="32"/>
      <c r="N121" s="32"/>
      <c r="O121" s="32"/>
      <c r="P121" s="32"/>
      <c r="Q121" s="32"/>
      <c r="R121" s="32"/>
      <c r="S121" s="32"/>
      <c r="T121" s="32"/>
      <c r="U121" s="32"/>
      <c r="V121" s="32"/>
      <c r="W121" s="32"/>
      <c r="X121" s="32"/>
      <c r="Y121" s="32"/>
      <c r="Z121" s="32"/>
    </row>
    <row r="122" ht="144.0" customHeight="1">
      <c r="A122" s="198" t="str">
        <f>'High Risk Non-Compliant'!B78</f>
        <v>CHNG-02</v>
      </c>
      <c r="B122" s="199" t="str">
        <f>'High Risk Non-Compliant'!C78</f>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v>
      </c>
      <c r="C122" s="3"/>
      <c r="D122" s="200" t="str">
        <f>'High Risk Non-Compliant'!D78</f>
        <v/>
      </c>
      <c r="E122" s="2"/>
      <c r="F122" s="3"/>
      <c r="G122" s="111" t="str">
        <f>VLOOKUP(A122,'High Risk Non-Compliant'!B:K,$H$48,FALSE)</f>
        <v>#N/A</v>
      </c>
      <c r="H122" s="111" t="str">
        <f>VLOOKUP(G122,'Crosswalk Detail'!A:B,2,FALSE)</f>
        <v>#N/A</v>
      </c>
      <c r="I122" s="32"/>
      <c r="J122" s="32"/>
      <c r="K122" s="32"/>
      <c r="L122" s="32"/>
      <c r="M122" s="32"/>
      <c r="N122" s="32"/>
      <c r="O122" s="32"/>
      <c r="P122" s="32"/>
      <c r="Q122" s="32"/>
      <c r="R122" s="32"/>
      <c r="S122" s="32"/>
      <c r="T122" s="32"/>
      <c r="U122" s="32"/>
      <c r="V122" s="32"/>
      <c r="W122" s="32"/>
      <c r="X122" s="32"/>
      <c r="Y122" s="32"/>
      <c r="Z122" s="32"/>
    </row>
    <row r="123" ht="144.0" customHeight="1">
      <c r="A123" s="198" t="str">
        <f>'High Risk Non-Compliant'!B79</f>
        <v>CHNG-03</v>
      </c>
      <c r="B123" s="199" t="str">
        <f>'High Risk Non-Compliant'!C79</f>
        <v>Will the Institution be notified of major changes to your environment that could impact the Institution's security posture?</v>
      </c>
      <c r="C123" s="3"/>
      <c r="D123" s="200" t="str">
        <f>'High Risk Non-Compliant'!D79</f>
        <v>Institutions will be notified 60 days prior to the environmental change</v>
      </c>
      <c r="E123" s="2"/>
      <c r="F123" s="3"/>
      <c r="G123" s="111" t="str">
        <f>VLOOKUP(A123,'High Risk Non-Compliant'!B:K,$H$48,FALSE)</f>
        <v>#N/A</v>
      </c>
      <c r="H123" s="111" t="str">
        <f>VLOOKUP(G123,'Crosswalk Detail'!A:B,2,FALSE)</f>
        <v>#N/A</v>
      </c>
      <c r="I123" s="32"/>
      <c r="J123" s="32"/>
      <c r="K123" s="32"/>
      <c r="L123" s="32"/>
      <c r="M123" s="32"/>
      <c r="N123" s="32"/>
      <c r="O123" s="32"/>
      <c r="P123" s="32"/>
      <c r="Q123" s="32"/>
      <c r="R123" s="32"/>
      <c r="S123" s="32"/>
      <c r="T123" s="32"/>
      <c r="U123" s="32"/>
      <c r="V123" s="32"/>
      <c r="W123" s="32"/>
      <c r="X123" s="32"/>
      <c r="Y123" s="32"/>
      <c r="Z123" s="32"/>
    </row>
    <row r="124" ht="144.0" customHeight="1">
      <c r="A124" s="198" t="str">
        <f>'High Risk Non-Compliant'!B80</f>
        <v>CHNG-04</v>
      </c>
      <c r="B124" s="199" t="str">
        <f>'High Risk Non-Compliant'!C80</f>
        <v>Do clients have the option to not participate in or postpone an upgrade to a new release?</v>
      </c>
      <c r="C124" s="3"/>
      <c r="D124" s="200" t="str">
        <f>'High Risk Non-Compliant'!D80</f>
        <v>All features of the chat bot are universally available to all schools</v>
      </c>
      <c r="E124" s="2"/>
      <c r="F124" s="3"/>
      <c r="G124" s="111" t="str">
        <f>VLOOKUP(A124,'High Risk Non-Compliant'!B:K,$H$48,FALSE)</f>
        <v>#N/A</v>
      </c>
      <c r="H124" s="111" t="str">
        <f>VLOOKUP(G124,'Crosswalk Detail'!A:B,2,FALSE)</f>
        <v>#N/A</v>
      </c>
      <c r="I124" s="32"/>
      <c r="J124" s="32"/>
      <c r="K124" s="32"/>
      <c r="L124" s="32"/>
      <c r="M124" s="32"/>
      <c r="N124" s="32"/>
      <c r="O124" s="32"/>
      <c r="P124" s="32"/>
      <c r="Q124" s="32"/>
      <c r="R124" s="32"/>
      <c r="S124" s="32"/>
      <c r="T124" s="32"/>
      <c r="U124" s="32"/>
      <c r="V124" s="32"/>
      <c r="W124" s="32"/>
      <c r="X124" s="32"/>
      <c r="Y124" s="32"/>
      <c r="Z124" s="32"/>
    </row>
    <row r="125" ht="144.0" customHeight="1">
      <c r="A125" s="198" t="str">
        <f>'High Risk Non-Compliant'!B81</f>
        <v>CHNG-05</v>
      </c>
      <c r="B125" s="199" t="str">
        <f>'High Risk Non-Compliant'!C81</f>
        <v>Describe or provide a reference to your solution support strategy in relation to maintaining software currency. (i.e. how many concurrent versions are you willing to run and support?)</v>
      </c>
      <c r="C125" s="3"/>
      <c r="D125" s="200" t="str">
        <f>'High Risk Non-Compliant'!D81</f>
        <v/>
      </c>
      <c r="E125" s="2"/>
      <c r="F125" s="3"/>
      <c r="G125" s="111" t="str">
        <f>VLOOKUP(A125,'High Risk Non-Compliant'!B:K,$H$48,FALSE)</f>
        <v>#N/A</v>
      </c>
      <c r="H125" s="111" t="str">
        <f>VLOOKUP(G125,'Crosswalk Detail'!A:B,2,FALSE)</f>
        <v>#N/A</v>
      </c>
      <c r="I125" s="32"/>
      <c r="J125" s="32"/>
      <c r="K125" s="32"/>
      <c r="L125" s="32"/>
      <c r="M125" s="32"/>
      <c r="N125" s="32"/>
      <c r="O125" s="32"/>
      <c r="P125" s="32"/>
      <c r="Q125" s="32"/>
      <c r="R125" s="32"/>
      <c r="S125" s="32"/>
      <c r="T125" s="32"/>
      <c r="U125" s="32"/>
      <c r="V125" s="32"/>
      <c r="W125" s="32"/>
      <c r="X125" s="32"/>
      <c r="Y125" s="32"/>
      <c r="Z125" s="32"/>
    </row>
    <row r="126" ht="144.0" customHeight="1">
      <c r="A126" s="198" t="str">
        <f>'High Risk Non-Compliant'!B82</f>
        <v>CHNG-06</v>
      </c>
      <c r="B126" s="199" t="str">
        <f>'High Risk Non-Compliant'!C82</f>
        <v>Identify the most current version of the software. Detail the percentage of live customers that are utilizing the proposed version of the software as well as each version of the software currently in use.</v>
      </c>
      <c r="C126" s="3"/>
      <c r="D126" s="200" t="str">
        <f>'High Risk Non-Compliant'!D82</f>
        <v/>
      </c>
      <c r="E126" s="2"/>
      <c r="F126" s="3"/>
      <c r="G126" s="111" t="str">
        <f>VLOOKUP(A126,'High Risk Non-Compliant'!B:K,$H$48,FALSE)</f>
        <v>#N/A</v>
      </c>
      <c r="H126" s="111" t="str">
        <f>VLOOKUP(G126,'Crosswalk Detail'!A:B,2,FALSE)</f>
        <v>#N/A</v>
      </c>
      <c r="I126" s="32"/>
      <c r="J126" s="32"/>
      <c r="K126" s="32"/>
      <c r="L126" s="32"/>
      <c r="M126" s="32"/>
      <c r="N126" s="32"/>
      <c r="O126" s="32"/>
      <c r="P126" s="32"/>
      <c r="Q126" s="32"/>
      <c r="R126" s="32"/>
      <c r="S126" s="32"/>
      <c r="T126" s="32"/>
      <c r="U126" s="32"/>
      <c r="V126" s="32"/>
      <c r="W126" s="32"/>
      <c r="X126" s="32"/>
      <c r="Y126" s="32"/>
      <c r="Z126" s="32"/>
    </row>
    <row r="127" ht="144.0" customHeight="1">
      <c r="A127" s="198" t="str">
        <f>'High Risk Non-Compliant'!B83</f>
        <v>CHNG-07</v>
      </c>
      <c r="B127" s="199" t="str">
        <f>'High Risk Non-Compliant'!C83</f>
        <v>Does the system support client customizations from one release to another?</v>
      </c>
      <c r="C127" s="3"/>
      <c r="D127" s="200" t="str">
        <f>'High Risk Non-Compliant'!D83</f>
        <v/>
      </c>
      <c r="E127" s="2"/>
      <c r="F127" s="3"/>
      <c r="G127" s="111" t="str">
        <f>VLOOKUP(A127,'High Risk Non-Compliant'!B:K,$H$48,FALSE)</f>
        <v>#N/A</v>
      </c>
      <c r="H127" s="111" t="str">
        <f>VLOOKUP(G127,'Crosswalk Detail'!A:B,2,FALSE)</f>
        <v>#N/A</v>
      </c>
      <c r="I127" s="32"/>
      <c r="J127" s="32"/>
      <c r="K127" s="32"/>
      <c r="L127" s="32"/>
      <c r="M127" s="32"/>
      <c r="N127" s="32"/>
      <c r="O127" s="32"/>
      <c r="P127" s="32"/>
      <c r="Q127" s="32"/>
      <c r="R127" s="32"/>
      <c r="S127" s="32"/>
      <c r="T127" s="32"/>
      <c r="U127" s="32"/>
      <c r="V127" s="32"/>
      <c r="W127" s="32"/>
      <c r="X127" s="32"/>
      <c r="Y127" s="32"/>
      <c r="Z127" s="32"/>
    </row>
    <row r="128" ht="144.0" customHeight="1">
      <c r="A128" s="198" t="str">
        <f>'High Risk Non-Compliant'!B84</f>
        <v>CHNG-08</v>
      </c>
      <c r="B128" s="199" t="str">
        <f>'High Risk Non-Compliant'!C84</f>
        <v>Does your organization ensure through policy and procedure (that is currently implemented) that only application software verifiable as authorized, tested, and approved for production, and having met all other requirements and reviews necessary for commissioning, is placed into production?</v>
      </c>
      <c r="C128" s="3"/>
      <c r="D128" s="200" t="str">
        <f>'High Risk Non-Compliant'!D84</f>
        <v>All code is tested on dev, then staging before deploying to production. QA lead approves the release only after test plan has been completed on staging</v>
      </c>
      <c r="E128" s="2"/>
      <c r="F128" s="3"/>
      <c r="G128" s="111" t="str">
        <f>VLOOKUP(A128,'High Risk Non-Compliant'!B:K,$H$48,FALSE)</f>
        <v>#N/A</v>
      </c>
      <c r="H128" s="111" t="str">
        <f>VLOOKUP(G128,'Crosswalk Detail'!A:B,2,FALSE)</f>
        <v>#N/A</v>
      </c>
      <c r="I128" s="32"/>
      <c r="J128" s="32"/>
      <c r="K128" s="32"/>
      <c r="L128" s="32"/>
      <c r="M128" s="32"/>
      <c r="N128" s="32"/>
      <c r="O128" s="32"/>
      <c r="P128" s="32"/>
      <c r="Q128" s="32"/>
      <c r="R128" s="32"/>
      <c r="S128" s="32"/>
      <c r="T128" s="32"/>
      <c r="U128" s="32"/>
      <c r="V128" s="32"/>
      <c r="W128" s="32"/>
      <c r="X128" s="32"/>
      <c r="Y128" s="32"/>
      <c r="Z128" s="32"/>
    </row>
    <row r="129" ht="144.0" customHeight="1">
      <c r="A129" s="198" t="str">
        <f>'High Risk Non-Compliant'!B85</f>
        <v>CHNG-09</v>
      </c>
      <c r="B129" s="199" t="str">
        <f>'High Risk Non-Compliant'!C85</f>
        <v>Do you have a release schedule for product updates?</v>
      </c>
      <c r="C129" s="3"/>
      <c r="D129" s="200" t="str">
        <f>'High Risk Non-Compliant'!D85</f>
        <v>Once a quarter, bug fixes more frequently</v>
      </c>
      <c r="E129" s="2"/>
      <c r="F129" s="3"/>
      <c r="G129" s="111" t="str">
        <f>VLOOKUP(A129,'High Risk Non-Compliant'!B:K,$H$48,FALSE)</f>
        <v>#N/A</v>
      </c>
      <c r="H129" s="111" t="str">
        <f>VLOOKUP(G129,'Crosswalk Detail'!A:B,2,FALSE)</f>
        <v>#N/A</v>
      </c>
      <c r="I129" s="32"/>
      <c r="J129" s="32"/>
      <c r="K129" s="32"/>
      <c r="L129" s="32"/>
      <c r="M129" s="32"/>
      <c r="N129" s="32"/>
      <c r="O129" s="32"/>
      <c r="P129" s="32"/>
      <c r="Q129" s="32"/>
      <c r="R129" s="32"/>
      <c r="S129" s="32"/>
      <c r="T129" s="32"/>
      <c r="U129" s="32"/>
      <c r="V129" s="32"/>
      <c r="W129" s="32"/>
      <c r="X129" s="32"/>
      <c r="Y129" s="32"/>
      <c r="Z129" s="32"/>
    </row>
    <row r="130" ht="144.0" customHeight="1">
      <c r="A130" s="198" t="str">
        <f>'High Risk Non-Compliant'!B86</f>
        <v>CHNG-10</v>
      </c>
      <c r="B130" s="199" t="str">
        <f>'High Risk Non-Compliant'!C86</f>
        <v>Do you have a technology roadmap, for the next 2 years, for enhancements and bug fixes for the product/service being assessed?</v>
      </c>
      <c r="C130" s="3"/>
      <c r="D130" s="200" t="str">
        <f>'High Risk Non-Compliant'!D86</f>
        <v>Focus on integrations, focus on new channels for the bot, convergence toward generative bots </v>
      </c>
      <c r="E130" s="2"/>
      <c r="F130" s="3"/>
      <c r="G130" s="111" t="str">
        <f>VLOOKUP(A130,'High Risk Non-Compliant'!B:K,$H$48,FALSE)</f>
        <v>#N/A</v>
      </c>
      <c r="H130" s="111" t="str">
        <f>VLOOKUP(G130,'Crosswalk Detail'!A:B,2,FALSE)</f>
        <v>#N/A</v>
      </c>
      <c r="I130" s="32"/>
      <c r="J130" s="32"/>
      <c r="K130" s="32"/>
      <c r="L130" s="32"/>
      <c r="M130" s="32"/>
      <c r="N130" s="32"/>
      <c r="O130" s="32"/>
      <c r="P130" s="32"/>
      <c r="Q130" s="32"/>
      <c r="R130" s="32"/>
      <c r="S130" s="32"/>
      <c r="T130" s="32"/>
      <c r="U130" s="32"/>
      <c r="V130" s="32"/>
      <c r="W130" s="32"/>
      <c r="X130" s="32"/>
      <c r="Y130" s="32"/>
      <c r="Z130" s="32"/>
    </row>
    <row r="131" ht="144.0" customHeight="1">
      <c r="A131" s="198" t="str">
        <f>'High Risk Non-Compliant'!B87</f>
        <v>CHNG-11</v>
      </c>
      <c r="B131" s="199" t="str">
        <f>'High Risk Non-Compliant'!C87</f>
        <v>Is Institution involvement (i.e. technically or organizationally) required during product updates?</v>
      </c>
      <c r="C131" s="3"/>
      <c r="D131" s="200" t="str">
        <f>'High Risk Non-Compliant'!D87</f>
        <v>We inform clients with upgrades notification.  Occasionally an upgrade may require some additional training but generally, since all updates happen on the cloud, there are no specific requirements of the client</v>
      </c>
      <c r="E131" s="2"/>
      <c r="F131" s="3"/>
      <c r="G131" s="111" t="str">
        <f>VLOOKUP(A131,'High Risk Non-Compliant'!B:K,$H$48,FALSE)</f>
        <v>#N/A</v>
      </c>
      <c r="H131" s="111" t="str">
        <f>VLOOKUP(G131,'Crosswalk Detail'!A:B,2,FALSE)</f>
        <v>#N/A</v>
      </c>
      <c r="I131" s="32"/>
      <c r="J131" s="32"/>
      <c r="K131" s="32"/>
      <c r="L131" s="32"/>
      <c r="M131" s="32"/>
      <c r="N131" s="32"/>
      <c r="O131" s="32"/>
      <c r="P131" s="32"/>
      <c r="Q131" s="32"/>
      <c r="R131" s="32"/>
      <c r="S131" s="32"/>
      <c r="T131" s="32"/>
      <c r="U131" s="32"/>
      <c r="V131" s="32"/>
      <c r="W131" s="32"/>
      <c r="X131" s="32"/>
      <c r="Y131" s="32"/>
      <c r="Z131" s="32"/>
    </row>
    <row r="132" ht="144.0" customHeight="1">
      <c r="A132" s="198" t="str">
        <f>'High Risk Non-Compliant'!B88</f>
        <v>CHNG-12</v>
      </c>
      <c r="B132" s="199" t="str">
        <f>'High Risk Non-Compliant'!C88</f>
        <v>Do you have policy and procedure, currently implemented, managing how critical patches are applied to all systems and applications?</v>
      </c>
      <c r="C132" s="3"/>
      <c r="D132" s="200" t="str">
        <f>'High Risk Non-Compliant'!D88</f>
        <v>Critical patches are applied at any time by CTO/Sys Admin</v>
      </c>
      <c r="E132" s="2"/>
      <c r="F132" s="3"/>
      <c r="G132" s="111" t="str">
        <f>VLOOKUP(A132,'High Risk Non-Compliant'!B:K,$H$48,FALSE)</f>
        <v>#N/A</v>
      </c>
      <c r="H132" s="111" t="str">
        <f>VLOOKUP(G132,'Crosswalk Detail'!A:B,2,FALSE)</f>
        <v>#N/A</v>
      </c>
      <c r="I132" s="32"/>
      <c r="J132" s="32"/>
      <c r="K132" s="32"/>
      <c r="L132" s="32"/>
      <c r="M132" s="32"/>
      <c r="N132" s="32"/>
      <c r="O132" s="32"/>
      <c r="P132" s="32"/>
      <c r="Q132" s="32"/>
      <c r="R132" s="32"/>
      <c r="S132" s="32"/>
      <c r="T132" s="32"/>
      <c r="U132" s="32"/>
      <c r="V132" s="32"/>
      <c r="W132" s="32"/>
      <c r="X132" s="32"/>
      <c r="Y132" s="32"/>
      <c r="Z132" s="32"/>
    </row>
    <row r="133" ht="144.0" customHeight="1">
      <c r="A133" s="198" t="str">
        <f>'High Risk Non-Compliant'!B89</f>
        <v>CHNG-13</v>
      </c>
      <c r="B133" s="199" t="str">
        <f>'High Risk Non-Compliant'!C89</f>
        <v>Do you have policy and procedure, currently implemented, guiding how security risks are mitigated until patches can be applied?</v>
      </c>
      <c r="C133" s="3"/>
      <c r="D133" s="200" t="str">
        <f>'High Risk Non-Compliant'!D89</f>
        <v>(1) determine severity of risk 
(2) identify immediate risk mitigation options (software "hacks", or system admin config) that can be done quickly before permanent solution can be put in place 
(3) communicate risk to key stakeholders 
(4) risk team approves approach 
(5) apply short term software/hardware/configuration patches 
(6) test solution 
(7) approve solution</v>
      </c>
      <c r="E133" s="2"/>
      <c r="F133" s="3"/>
      <c r="G133" s="111" t="str">
        <f>VLOOKUP(A133,'High Risk Non-Compliant'!B:K,$H$48,FALSE)</f>
        <v>#N/A</v>
      </c>
      <c r="H133" s="111" t="str">
        <f>VLOOKUP(G133,'Crosswalk Detail'!A:B,2,FALSE)</f>
        <v>#N/A</v>
      </c>
      <c r="I133" s="32"/>
      <c r="J133" s="32"/>
      <c r="K133" s="32"/>
      <c r="L133" s="32"/>
      <c r="M133" s="32"/>
      <c r="N133" s="32"/>
      <c r="O133" s="32"/>
      <c r="P133" s="32"/>
      <c r="Q133" s="32"/>
      <c r="R133" s="32"/>
      <c r="S133" s="32"/>
      <c r="T133" s="32"/>
      <c r="U133" s="32"/>
      <c r="V133" s="32"/>
      <c r="W133" s="32"/>
      <c r="X133" s="32"/>
      <c r="Y133" s="32"/>
      <c r="Z133" s="32"/>
    </row>
    <row r="134" ht="144.0" customHeight="1">
      <c r="A134" s="198" t="str">
        <f>'High Risk Non-Compliant'!B90</f>
        <v>CHNG-14</v>
      </c>
      <c r="B134" s="199" t="str">
        <f>'High Risk Non-Compliant'!C90</f>
        <v>Are upgrades or system changes installed during off-peak hours or in a manner that does not impact the customer?</v>
      </c>
      <c r="C134" s="3"/>
      <c r="D134" s="200" t="str">
        <f>'High Risk Non-Compliant'!D90</f>
        <v>Off-peak hours</v>
      </c>
      <c r="E134" s="2"/>
      <c r="F134" s="3"/>
      <c r="G134" s="111" t="str">
        <f>VLOOKUP(A134,'High Risk Non-Compliant'!B:K,$H$48,FALSE)</f>
        <v>#N/A</v>
      </c>
      <c r="H134" s="111" t="str">
        <f>VLOOKUP(G134,'Crosswalk Detail'!A:B,2,FALSE)</f>
        <v>#N/A</v>
      </c>
      <c r="I134" s="32"/>
      <c r="J134" s="32"/>
      <c r="K134" s="32"/>
      <c r="L134" s="32"/>
      <c r="M134" s="32"/>
      <c r="N134" s="32"/>
      <c r="O134" s="32"/>
      <c r="P134" s="32"/>
      <c r="Q134" s="32"/>
      <c r="R134" s="32"/>
      <c r="S134" s="32"/>
      <c r="T134" s="32"/>
      <c r="U134" s="32"/>
      <c r="V134" s="32"/>
      <c r="W134" s="32"/>
      <c r="X134" s="32"/>
      <c r="Y134" s="32"/>
      <c r="Z134" s="32"/>
    </row>
    <row r="135" ht="144.0" customHeight="1">
      <c r="A135" s="198" t="str">
        <f>'High Risk Non-Compliant'!B91</f>
        <v>CHNG-15</v>
      </c>
      <c r="B135" s="199" t="str">
        <f>'High Risk Non-Compliant'!C91</f>
        <v>Do procedures exist to provide that emergency changes are documented and authorized (including after the fact approval)?</v>
      </c>
      <c r="C135" s="3"/>
      <c r="D135" s="200" t="str">
        <f>'High Risk Non-Compliant'!D91</f>
        <v>Only in the case of a breach</v>
      </c>
      <c r="E135" s="2"/>
      <c r="F135" s="3"/>
      <c r="G135" s="111" t="str">
        <f>VLOOKUP(A135,'High Risk Non-Compliant'!B:K,$H$48,FALSE)</f>
        <v>#N/A</v>
      </c>
      <c r="H135" s="111" t="str">
        <f>VLOOKUP(G135,'Crosswalk Detail'!A:B,2,FALSE)</f>
        <v>#N/A</v>
      </c>
      <c r="I135" s="32"/>
      <c r="J135" s="32"/>
      <c r="K135" s="32"/>
      <c r="L135" s="32"/>
      <c r="M135" s="32"/>
      <c r="N135" s="32"/>
      <c r="O135" s="32"/>
      <c r="P135" s="32"/>
      <c r="Q135" s="32"/>
      <c r="R135" s="32"/>
      <c r="S135" s="32"/>
      <c r="T135" s="32"/>
      <c r="U135" s="32"/>
      <c r="V135" s="32"/>
      <c r="W135" s="32"/>
      <c r="X135" s="32"/>
      <c r="Y135" s="32"/>
      <c r="Z135" s="32"/>
    </row>
    <row r="136" ht="144.0" customHeight="1">
      <c r="A136" s="198" t="str">
        <f>'High Risk Non-Compliant'!B92</f>
        <v>DATA-01</v>
      </c>
      <c r="B136" s="199" t="str">
        <f>'High Risk Non-Compliant'!C92</f>
        <v>Do you physically and logically separate Institution's data from that of other customers?</v>
      </c>
      <c r="C136" s="3"/>
      <c r="D136" s="200" t="str">
        <f>'High Risk Non-Compliant'!D92</f>
        <v>Data is stored on separate database kubernetes nodes and data is encrypted at rest</v>
      </c>
      <c r="E136" s="2"/>
      <c r="F136" s="3"/>
      <c r="G136" s="111" t="str">
        <f>VLOOKUP(A136,'High Risk Non-Compliant'!B:K,$H$48,FALSE)</f>
        <v>#N/A</v>
      </c>
      <c r="H136" s="111" t="str">
        <f>VLOOKUP(G136,'Crosswalk Detail'!A:B,2,FALSE)</f>
        <v>#N/A</v>
      </c>
      <c r="I136" s="32"/>
      <c r="J136" s="32"/>
      <c r="K136" s="32"/>
      <c r="L136" s="32"/>
      <c r="M136" s="32"/>
      <c r="N136" s="32"/>
      <c r="O136" s="32"/>
      <c r="P136" s="32"/>
      <c r="Q136" s="32"/>
      <c r="R136" s="32"/>
      <c r="S136" s="32"/>
      <c r="T136" s="32"/>
      <c r="U136" s="32"/>
      <c r="V136" s="32"/>
      <c r="W136" s="32"/>
      <c r="X136" s="32"/>
      <c r="Y136" s="32"/>
      <c r="Z136" s="32"/>
    </row>
    <row r="137" ht="144.0" customHeight="1">
      <c r="A137" s="198" t="str">
        <f>'High Risk Non-Compliant'!B93</f>
        <v>DATA-02</v>
      </c>
      <c r="B137" s="199" t="str">
        <f>'High Risk Non-Compliant'!C93</f>
        <v>Will Institution's data be stored on any devices (database servers, file servers, SAN, NAS, …) configured with non-RFC 1918/4193 (i.e. publicly routable) IP addresses?</v>
      </c>
      <c r="C137" s="3"/>
      <c r="D137" s="200" t="str">
        <f>'High Risk Non-Compliant'!D93</f>
        <v/>
      </c>
      <c r="E137" s="2"/>
      <c r="F137" s="3"/>
      <c r="G137" s="111" t="str">
        <f>VLOOKUP(A137,'High Risk Non-Compliant'!B:K,$H$48,FALSE)</f>
        <v>#N/A</v>
      </c>
      <c r="H137" s="111" t="str">
        <f>VLOOKUP(G137,'Crosswalk Detail'!A:B,2,FALSE)</f>
        <v>#N/A</v>
      </c>
      <c r="I137" s="32"/>
      <c r="J137" s="32"/>
      <c r="K137" s="32"/>
      <c r="L137" s="32"/>
      <c r="M137" s="32"/>
      <c r="N137" s="32"/>
      <c r="O137" s="32"/>
      <c r="P137" s="32"/>
      <c r="Q137" s="32"/>
      <c r="R137" s="32"/>
      <c r="S137" s="32"/>
      <c r="T137" s="32"/>
      <c r="U137" s="32"/>
      <c r="V137" s="32"/>
      <c r="W137" s="32"/>
      <c r="X137" s="32"/>
      <c r="Y137" s="32"/>
      <c r="Z137" s="32"/>
    </row>
    <row r="138" ht="144.0" customHeight="1">
      <c r="A138" s="198" t="str">
        <f>'High Risk Non-Compliant'!B94</f>
        <v>DATA-03</v>
      </c>
      <c r="B138" s="199" t="str">
        <f>'High Risk Non-Compliant'!C94</f>
        <v>Is sensitive data encrypted in transport? (e.g. system-to-client)</v>
      </c>
      <c r="C138" s="3"/>
      <c r="D138" s="200" t="str">
        <f>'High Risk Non-Compliant'!D94</f>
        <v>SSL</v>
      </c>
      <c r="E138" s="2"/>
      <c r="F138" s="3"/>
      <c r="G138" s="111" t="str">
        <f>VLOOKUP(A138,'High Risk Non-Compliant'!B:K,$H$48,FALSE)</f>
        <v>#N/A</v>
      </c>
      <c r="H138" s="111" t="str">
        <f>VLOOKUP(G138,'Crosswalk Detail'!A:B,2,FALSE)</f>
        <v>#N/A</v>
      </c>
      <c r="I138" s="32"/>
      <c r="J138" s="32"/>
      <c r="K138" s="32"/>
      <c r="L138" s="32"/>
      <c r="M138" s="32"/>
      <c r="N138" s="32"/>
      <c r="O138" s="32"/>
      <c r="P138" s="32"/>
      <c r="Q138" s="32"/>
      <c r="R138" s="32"/>
      <c r="S138" s="32"/>
      <c r="T138" s="32"/>
      <c r="U138" s="32"/>
      <c r="V138" s="32"/>
      <c r="W138" s="32"/>
      <c r="X138" s="32"/>
      <c r="Y138" s="32"/>
      <c r="Z138" s="32"/>
    </row>
    <row r="139" ht="144.0" customHeight="1">
      <c r="A139" s="198" t="str">
        <f>'High Risk Non-Compliant'!B95</f>
        <v>DATA-04</v>
      </c>
      <c r="B139" s="199" t="str">
        <f>'High Risk Non-Compliant'!C95</f>
        <v>Is sensitive data encrypted in storage (e.g. disk encryption, at-rest)?</v>
      </c>
      <c r="C139" s="3"/>
      <c r="D139" s="200" t="str">
        <f>'High Risk Non-Compliant'!D95</f>
        <v>At rest encryption</v>
      </c>
      <c r="E139" s="2"/>
      <c r="F139" s="3"/>
      <c r="G139" s="111" t="str">
        <f>VLOOKUP(A139,'High Risk Non-Compliant'!B:K,$H$48,FALSE)</f>
        <v>#N/A</v>
      </c>
      <c r="H139" s="111" t="str">
        <f>VLOOKUP(G139,'Crosswalk Detail'!A:B,2,FALSE)</f>
        <v>#N/A</v>
      </c>
      <c r="I139" s="32"/>
      <c r="J139" s="32"/>
      <c r="K139" s="32"/>
      <c r="L139" s="32"/>
      <c r="M139" s="32"/>
      <c r="N139" s="32"/>
      <c r="O139" s="32"/>
      <c r="P139" s="32"/>
      <c r="Q139" s="32"/>
      <c r="R139" s="32"/>
      <c r="S139" s="32"/>
      <c r="T139" s="32"/>
      <c r="U139" s="32"/>
      <c r="V139" s="32"/>
      <c r="W139" s="32"/>
      <c r="X139" s="32"/>
      <c r="Y139" s="32"/>
      <c r="Z139" s="32"/>
    </row>
    <row r="140" ht="144.0" customHeight="1">
      <c r="A140" s="198" t="str">
        <f>'High Risk Non-Compliant'!B96</f>
        <v>DATA-05</v>
      </c>
      <c r="B140" s="199" t="str">
        <f>'High Risk Non-Compliant'!C96</f>
        <v>Do you employ or allow any cryptographic modules that do not conform to the Federal Information Processing Standards (FIPS PUB 140-2)?</v>
      </c>
      <c r="C140" s="3"/>
      <c r="D140" s="200" t="str">
        <f>'High Risk Non-Compliant'!D96</f>
        <v/>
      </c>
      <c r="E140" s="2"/>
      <c r="F140" s="3"/>
      <c r="G140" s="111" t="str">
        <f>VLOOKUP(A140,'High Risk Non-Compliant'!B:K,$H$48,FALSE)</f>
        <v>#N/A</v>
      </c>
      <c r="H140" s="111" t="str">
        <f>VLOOKUP(G140,'Crosswalk Detail'!A:B,2,FALSE)</f>
        <v>#N/A</v>
      </c>
      <c r="I140" s="32"/>
      <c r="J140" s="32"/>
      <c r="K140" s="32"/>
      <c r="L140" s="32"/>
      <c r="M140" s="32"/>
      <c r="N140" s="32"/>
      <c r="O140" s="32"/>
      <c r="P140" s="32"/>
      <c r="Q140" s="32"/>
      <c r="R140" s="32"/>
      <c r="S140" s="32"/>
      <c r="T140" s="32"/>
      <c r="U140" s="32"/>
      <c r="V140" s="32"/>
      <c r="W140" s="32"/>
      <c r="X140" s="32"/>
      <c r="Y140" s="32"/>
      <c r="Z140" s="32"/>
    </row>
    <row r="141" ht="144.0" customHeight="1">
      <c r="A141" s="198" t="str">
        <f>'High Risk Non-Compliant'!B97</f>
        <v>DATA-06</v>
      </c>
      <c r="B141" s="199" t="str">
        <f>'High Risk Non-Compliant'!C97</f>
        <v>Does your system employ encryption technologies when transmitting sensitive information over TCP/IP networks (e.g., SSH, SSL/TLS, VPN)? (e.g. system-to-system and system-to-client)</v>
      </c>
      <c r="C141" s="3"/>
      <c r="D141" s="200" t="str">
        <f>'High Risk Non-Compliant'!D97</f>
        <v>SSH, TLS, VPN, ALTS</v>
      </c>
      <c r="E141" s="2"/>
      <c r="F141" s="3"/>
      <c r="G141" s="111" t="str">
        <f>VLOOKUP(A141,'High Risk Non-Compliant'!B:K,$H$48,FALSE)</f>
        <v>#N/A</v>
      </c>
      <c r="H141" s="111" t="str">
        <f>VLOOKUP(G141,'Crosswalk Detail'!A:B,2,FALSE)</f>
        <v>#N/A</v>
      </c>
      <c r="I141" s="32"/>
      <c r="J141" s="32"/>
      <c r="K141" s="32"/>
      <c r="L141" s="32"/>
      <c r="M141" s="32"/>
      <c r="N141" s="32"/>
      <c r="O141" s="32"/>
      <c r="P141" s="32"/>
      <c r="Q141" s="32"/>
      <c r="R141" s="32"/>
      <c r="S141" s="32"/>
      <c r="T141" s="32"/>
      <c r="U141" s="32"/>
      <c r="V141" s="32"/>
      <c r="W141" s="32"/>
      <c r="X141" s="32"/>
      <c r="Y141" s="32"/>
      <c r="Z141" s="32"/>
    </row>
    <row r="142" ht="144.0" customHeight="1">
      <c r="A142" s="198" t="str">
        <f>'High Risk Non-Compliant'!B98</f>
        <v>DATA-07</v>
      </c>
      <c r="B142" s="199" t="str">
        <f>'High Risk Non-Compliant'!C98</f>
        <v>List all locations (i.e. city + datacenter name) where the institution's data will be stored?</v>
      </c>
      <c r="C142" s="3"/>
      <c r="D142" s="200" t="str">
        <f>'High Risk Non-Compliant'!D98</f>
        <v/>
      </c>
      <c r="E142" s="2"/>
      <c r="F142" s="3"/>
      <c r="G142" s="111" t="str">
        <f>VLOOKUP(A142,'High Risk Non-Compliant'!B:K,$H$48,FALSE)</f>
        <v>#N/A</v>
      </c>
      <c r="H142" s="111" t="str">
        <f>VLOOKUP(G142,'Crosswalk Detail'!A:B,2,FALSE)</f>
        <v>#N/A</v>
      </c>
      <c r="I142" s="32"/>
      <c r="J142" s="32"/>
      <c r="K142" s="32"/>
      <c r="L142" s="32"/>
      <c r="M142" s="32"/>
      <c r="N142" s="32"/>
      <c r="O142" s="32"/>
      <c r="P142" s="32"/>
      <c r="Q142" s="32"/>
      <c r="R142" s="32"/>
      <c r="S142" s="32"/>
      <c r="T142" s="32"/>
      <c r="U142" s="32"/>
      <c r="V142" s="32"/>
      <c r="W142" s="32"/>
      <c r="X142" s="32"/>
      <c r="Y142" s="32"/>
      <c r="Z142" s="32"/>
    </row>
    <row r="143" ht="144.0" customHeight="1">
      <c r="A143" s="198" t="str">
        <f>'High Risk Non-Compliant'!B99</f>
        <v>DATA-08</v>
      </c>
      <c r="B143" s="199" t="str">
        <f>'High Risk Non-Compliant'!C99</f>
        <v>At the completion of this contract, will data be returned to the institution?</v>
      </c>
      <c r="C143" s="3"/>
      <c r="D143" s="200" t="str">
        <f>'High Risk Non-Compliant'!D99</f>
        <v/>
      </c>
      <c r="E143" s="2"/>
      <c r="F143" s="3"/>
      <c r="G143" s="111" t="str">
        <f>VLOOKUP(A143,'High Risk Non-Compliant'!B:K,$H$48,FALSE)</f>
        <v>#N/A</v>
      </c>
      <c r="H143" s="111" t="str">
        <f>VLOOKUP(G143,'Crosswalk Detail'!A:B,2,FALSE)</f>
        <v>#N/A</v>
      </c>
      <c r="I143" s="32"/>
      <c r="J143" s="32"/>
      <c r="K143" s="32"/>
      <c r="L143" s="32"/>
      <c r="M143" s="32"/>
      <c r="N143" s="32"/>
      <c r="O143" s="32"/>
      <c r="P143" s="32"/>
      <c r="Q143" s="32"/>
      <c r="R143" s="32"/>
      <c r="S143" s="32"/>
      <c r="T143" s="32"/>
      <c r="U143" s="32"/>
      <c r="V143" s="32"/>
      <c r="W143" s="32"/>
      <c r="X143" s="32"/>
      <c r="Y143" s="32"/>
      <c r="Z143" s="32"/>
    </row>
    <row r="144" ht="144.0" customHeight="1">
      <c r="A144" s="198" t="str">
        <f>'High Risk Non-Compliant'!B100</f>
        <v>DATA-09</v>
      </c>
      <c r="B144" s="199" t="str">
        <f>'High Risk Non-Compliant'!C100</f>
        <v>Will the institution's data be available within the system for a period of time at the completion of this contract?</v>
      </c>
      <c r="C144" s="3"/>
      <c r="D144" s="200" t="str">
        <f>'High Risk Non-Compliant'!D100</f>
        <v>Negotiable, typically 5 years</v>
      </c>
      <c r="E144" s="2"/>
      <c r="F144" s="3"/>
      <c r="G144" s="111" t="str">
        <f>VLOOKUP(A144,'High Risk Non-Compliant'!B:K,$H$48,FALSE)</f>
        <v>#N/A</v>
      </c>
      <c r="H144" s="111" t="str">
        <f>VLOOKUP(G144,'Crosswalk Detail'!A:B,2,FALSE)</f>
        <v>#N/A</v>
      </c>
      <c r="I144" s="32"/>
      <c r="J144" s="32"/>
      <c r="K144" s="32"/>
      <c r="L144" s="32"/>
      <c r="M144" s="32"/>
      <c r="N144" s="32"/>
      <c r="O144" s="32"/>
      <c r="P144" s="32"/>
      <c r="Q144" s="32"/>
      <c r="R144" s="32"/>
      <c r="S144" s="32"/>
      <c r="T144" s="32"/>
      <c r="U144" s="32"/>
      <c r="V144" s="32"/>
      <c r="W144" s="32"/>
      <c r="X144" s="32"/>
      <c r="Y144" s="32"/>
      <c r="Z144" s="32"/>
    </row>
    <row r="145" ht="144.0" customHeight="1">
      <c r="A145" s="198" t="str">
        <f>'High Risk Non-Compliant'!B101</f>
        <v>DATA-10</v>
      </c>
      <c r="B145" s="199" t="str">
        <f>'High Risk Non-Compliant'!C101</f>
        <v>Can the institution extract a full backup of data?</v>
      </c>
      <c r="C145" s="3"/>
      <c r="D145" s="200" t="str">
        <f>'High Risk Non-Compliant'!D101</f>
        <v/>
      </c>
      <c r="E145" s="2"/>
      <c r="F145" s="3"/>
      <c r="G145" s="111" t="str">
        <f>VLOOKUP(A145,'High Risk Non-Compliant'!B:K,$H$48,FALSE)</f>
        <v>#N/A</v>
      </c>
      <c r="H145" s="111" t="str">
        <f>VLOOKUP(G145,'Crosswalk Detail'!A:B,2,FALSE)</f>
        <v>#N/A</v>
      </c>
      <c r="I145" s="32"/>
      <c r="J145" s="32"/>
      <c r="K145" s="32"/>
      <c r="L145" s="32"/>
      <c r="M145" s="32"/>
      <c r="N145" s="32"/>
      <c r="O145" s="32"/>
      <c r="P145" s="32"/>
      <c r="Q145" s="32"/>
      <c r="R145" s="32"/>
      <c r="S145" s="32"/>
      <c r="T145" s="32"/>
      <c r="U145" s="32"/>
      <c r="V145" s="32"/>
      <c r="W145" s="32"/>
      <c r="X145" s="32"/>
      <c r="Y145" s="32"/>
      <c r="Z145" s="32"/>
    </row>
    <row r="146" ht="144.0" customHeight="1">
      <c r="A146" s="198" t="str">
        <f>'High Risk Non-Compliant'!B102</f>
        <v>DATA-11</v>
      </c>
      <c r="B146" s="199" t="str">
        <f>'High Risk Non-Compliant'!C102</f>
        <v>Are ownership rights to all data, inputs, outputs, and metadata retained by the institution?</v>
      </c>
      <c r="C146" s="3"/>
      <c r="D146" s="200" t="str">
        <f>'High Risk Non-Compliant'!D102</f>
        <v/>
      </c>
      <c r="E146" s="2"/>
      <c r="F146" s="3"/>
      <c r="G146" s="111" t="str">
        <f>VLOOKUP(A146,'High Risk Non-Compliant'!B:K,$H$48,FALSE)</f>
        <v>#N/A</v>
      </c>
      <c r="H146" s="111" t="str">
        <f>VLOOKUP(G146,'Crosswalk Detail'!A:B,2,FALSE)</f>
        <v>#N/A</v>
      </c>
      <c r="I146" s="32"/>
      <c r="J146" s="32"/>
      <c r="K146" s="32"/>
      <c r="L146" s="32"/>
      <c r="M146" s="32"/>
      <c r="N146" s="32"/>
      <c r="O146" s="32"/>
      <c r="P146" s="32"/>
      <c r="Q146" s="32"/>
      <c r="R146" s="32"/>
      <c r="S146" s="32"/>
      <c r="T146" s="32"/>
      <c r="U146" s="32"/>
      <c r="V146" s="32"/>
      <c r="W146" s="32"/>
      <c r="X146" s="32"/>
      <c r="Y146" s="32"/>
      <c r="Z146" s="32"/>
    </row>
    <row r="147" ht="144.0" customHeight="1">
      <c r="A147" s="198" t="str">
        <f>'High Risk Non-Compliant'!B103</f>
        <v>DATA-12</v>
      </c>
      <c r="B147" s="199" t="str">
        <f>'High Risk Non-Compliant'!C103</f>
        <v>Are these rights retained even through a provider acquisition or bankruptcy event?</v>
      </c>
      <c r="C147" s="3"/>
      <c r="D147" s="200" t="str">
        <f>'High Risk Non-Compliant'!D103</f>
        <v>In such events, university data clauses with customers will survive the contractual period</v>
      </c>
      <c r="E147" s="2"/>
      <c r="F147" s="3"/>
      <c r="G147" s="111" t="str">
        <f>VLOOKUP(A147,'High Risk Non-Compliant'!B:K,$H$48,FALSE)</f>
        <v>#N/A</v>
      </c>
      <c r="H147" s="111" t="str">
        <f>VLOOKUP(G147,'Crosswalk Detail'!A:B,2,FALSE)</f>
        <v>#N/A</v>
      </c>
      <c r="I147" s="32"/>
      <c r="J147" s="32"/>
      <c r="K147" s="32"/>
      <c r="L147" s="32"/>
      <c r="M147" s="32"/>
      <c r="N147" s="32"/>
      <c r="O147" s="32"/>
      <c r="P147" s="32"/>
      <c r="Q147" s="32"/>
      <c r="R147" s="32"/>
      <c r="S147" s="32"/>
      <c r="T147" s="32"/>
      <c r="U147" s="32"/>
      <c r="V147" s="32"/>
      <c r="W147" s="32"/>
      <c r="X147" s="32"/>
      <c r="Y147" s="32"/>
      <c r="Z147" s="32"/>
    </row>
    <row r="148" ht="144.0" customHeight="1">
      <c r="A148" s="198" t="str">
        <f>'High Risk Non-Compliant'!B104</f>
        <v>DATA-13</v>
      </c>
      <c r="B148" s="199" t="str">
        <f>'High Risk Non-Compliant'!C104</f>
        <v>In the event of imminent bankruptcy, closing of business, or retirement of service, will you provide 90 days for customers to get their data out of the system and migrate applications?</v>
      </c>
      <c r="C148" s="3"/>
      <c r="D148" s="200" t="str">
        <f>'High Risk Non-Compliant'!D104</f>
        <v/>
      </c>
      <c r="E148" s="2"/>
      <c r="F148" s="3"/>
      <c r="G148" s="111" t="str">
        <f>VLOOKUP(A148,'High Risk Non-Compliant'!B:K,$H$48,FALSE)</f>
        <v>#N/A</v>
      </c>
      <c r="H148" s="111" t="str">
        <f>VLOOKUP(G148,'Crosswalk Detail'!A:B,2,FALSE)</f>
        <v>#N/A</v>
      </c>
      <c r="I148" s="32"/>
      <c r="J148" s="32"/>
      <c r="K148" s="32"/>
      <c r="L148" s="32"/>
      <c r="M148" s="32"/>
      <c r="N148" s="32"/>
      <c r="O148" s="32"/>
      <c r="P148" s="32"/>
      <c r="Q148" s="32"/>
      <c r="R148" s="32"/>
      <c r="S148" s="32"/>
      <c r="T148" s="32"/>
      <c r="U148" s="32"/>
      <c r="V148" s="32"/>
      <c r="W148" s="32"/>
      <c r="X148" s="32"/>
      <c r="Y148" s="32"/>
      <c r="Z148" s="32"/>
    </row>
    <row r="149" ht="144.0" customHeight="1">
      <c r="A149" s="198" t="str">
        <f>'High Risk Non-Compliant'!B105</f>
        <v>DATA-14</v>
      </c>
      <c r="B149" s="199" t="str">
        <f>'High Risk Non-Compliant'!C105</f>
        <v>Describe or provide a reference to the backup processes for the servers on which the service and/or data resides. </v>
      </c>
      <c r="C149" s="3"/>
      <c r="D149" s="200" t="str">
        <f>'High Risk Non-Compliant'!D105</f>
        <v/>
      </c>
      <c r="E149" s="2"/>
      <c r="F149" s="3"/>
      <c r="G149" s="111" t="str">
        <f>VLOOKUP(A149,'High Risk Non-Compliant'!B:K,$H$48,FALSE)</f>
        <v>#N/A</v>
      </c>
      <c r="H149" s="111" t="str">
        <f>VLOOKUP(G149,'Crosswalk Detail'!A:B,2,FALSE)</f>
        <v>#N/A</v>
      </c>
      <c r="I149" s="32"/>
      <c r="J149" s="32"/>
      <c r="K149" s="32"/>
      <c r="L149" s="32"/>
      <c r="M149" s="32"/>
      <c r="N149" s="32"/>
      <c r="O149" s="32"/>
      <c r="P149" s="32"/>
      <c r="Q149" s="32"/>
      <c r="R149" s="32"/>
      <c r="S149" s="32"/>
      <c r="T149" s="32"/>
      <c r="U149" s="32"/>
      <c r="V149" s="32"/>
      <c r="W149" s="32"/>
      <c r="X149" s="32"/>
      <c r="Y149" s="32"/>
      <c r="Z149" s="32"/>
    </row>
    <row r="150" ht="144.0" customHeight="1">
      <c r="A150" s="198" t="str">
        <f>'High Risk Non-Compliant'!B106</f>
        <v>DATA-15</v>
      </c>
      <c r="B150" s="199" t="str">
        <f>'High Risk Non-Compliant'!C106</f>
        <v>Are backup copies made according to pre-defined schedules and securely stored and protected?</v>
      </c>
      <c r="C150" s="3"/>
      <c r="D150" s="200" t="str">
        <f>'High Risk Non-Compliant'!D106</f>
        <v/>
      </c>
      <c r="E150" s="2"/>
      <c r="F150" s="3"/>
      <c r="G150" s="111" t="str">
        <f>VLOOKUP(A150,'High Risk Non-Compliant'!B:K,$H$48,FALSE)</f>
        <v>#N/A</v>
      </c>
      <c r="H150" s="111" t="str">
        <f>VLOOKUP(G150,'Crosswalk Detail'!A:B,2,FALSE)</f>
        <v>#N/A</v>
      </c>
      <c r="I150" s="32"/>
      <c r="J150" s="32"/>
      <c r="K150" s="32"/>
      <c r="L150" s="32"/>
      <c r="M150" s="32"/>
      <c r="N150" s="32"/>
      <c r="O150" s="32"/>
      <c r="P150" s="32"/>
      <c r="Q150" s="32"/>
      <c r="R150" s="32"/>
      <c r="S150" s="32"/>
      <c r="T150" s="32"/>
      <c r="U150" s="32"/>
      <c r="V150" s="32"/>
      <c r="W150" s="32"/>
      <c r="X150" s="32"/>
      <c r="Y150" s="32"/>
      <c r="Z150" s="32"/>
    </row>
    <row r="151" ht="144.0" customHeight="1">
      <c r="A151" s="198" t="str">
        <f>'High Risk Non-Compliant'!B107</f>
        <v>DATA-16</v>
      </c>
      <c r="B151" s="199" t="str">
        <f>'High Risk Non-Compliant'!C107</f>
        <v>How long are data backups stored?</v>
      </c>
      <c r="C151" s="3"/>
      <c r="D151" s="200" t="str">
        <f>'High Risk Non-Compliant'!D107</f>
        <v/>
      </c>
      <c r="E151" s="2"/>
      <c r="F151" s="3"/>
      <c r="G151" s="111" t="str">
        <f>VLOOKUP(A151,'High Risk Non-Compliant'!B:K,$H$48,FALSE)</f>
        <v>#N/A</v>
      </c>
      <c r="H151" s="111" t="str">
        <f>VLOOKUP(G151,'Crosswalk Detail'!A:B,2,FALSE)</f>
        <v>#N/A</v>
      </c>
      <c r="I151" s="32"/>
      <c r="J151" s="32"/>
      <c r="K151" s="32"/>
      <c r="L151" s="32"/>
      <c r="M151" s="32"/>
      <c r="N151" s="32"/>
      <c r="O151" s="32"/>
      <c r="P151" s="32"/>
      <c r="Q151" s="32"/>
      <c r="R151" s="32"/>
      <c r="S151" s="32"/>
      <c r="T151" s="32"/>
      <c r="U151" s="32"/>
      <c r="V151" s="32"/>
      <c r="W151" s="32"/>
      <c r="X151" s="32"/>
      <c r="Y151" s="32"/>
      <c r="Z151" s="32"/>
    </row>
    <row r="152" ht="144.0" customHeight="1">
      <c r="A152" s="198" t="str">
        <f>'High Risk Non-Compliant'!B108</f>
        <v>DATA-17</v>
      </c>
      <c r="B152" s="199" t="str">
        <f>'High Risk Non-Compliant'!C108</f>
        <v>Are data backups encrypted?</v>
      </c>
      <c r="C152" s="3"/>
      <c r="D152" s="200" t="str">
        <f>'High Risk Non-Compliant'!D108</f>
        <v>All data is encrypted at rest in storage</v>
      </c>
      <c r="E152" s="2"/>
      <c r="F152" s="3"/>
      <c r="G152" s="111" t="str">
        <f>VLOOKUP(A152,'High Risk Non-Compliant'!B:K,$H$48,FALSE)</f>
        <v>#N/A</v>
      </c>
      <c r="H152" s="111" t="str">
        <f>VLOOKUP(G152,'Crosswalk Detail'!A:B,2,FALSE)</f>
        <v>#N/A</v>
      </c>
      <c r="I152" s="32"/>
      <c r="J152" s="32"/>
      <c r="K152" s="32"/>
      <c r="L152" s="32"/>
      <c r="M152" s="32"/>
      <c r="N152" s="32"/>
      <c r="O152" s="32"/>
      <c r="P152" s="32"/>
      <c r="Q152" s="32"/>
      <c r="R152" s="32"/>
      <c r="S152" s="32"/>
      <c r="T152" s="32"/>
      <c r="U152" s="32"/>
      <c r="V152" s="32"/>
      <c r="W152" s="32"/>
      <c r="X152" s="32"/>
      <c r="Y152" s="32"/>
      <c r="Z152" s="32"/>
    </row>
    <row r="153" ht="144.0" customHeight="1">
      <c r="A153" s="198" t="str">
        <f>'High Risk Non-Compliant'!B109</f>
        <v>DATA-18</v>
      </c>
      <c r="B153" s="199" t="str">
        <f>'High Risk Non-Compliant'!C109</f>
        <v>Do you have a cryptographic key management process (generation, exchange, storage, safeguards, use, vetting, and replacement), that is documented and currently implemented, for all system components? (e.g. database, system, web, etc.)</v>
      </c>
      <c r="C153" s="3"/>
      <c r="D153" s="200" t="str">
        <f>'High Risk Non-Compliant'!D109</f>
        <v>We use Google's key management process</v>
      </c>
      <c r="E153" s="2"/>
      <c r="F153" s="3"/>
      <c r="G153" s="111" t="str">
        <f>VLOOKUP(A153,'High Risk Non-Compliant'!B:K,$H$48,FALSE)</f>
        <v>#N/A</v>
      </c>
      <c r="H153" s="111" t="str">
        <f>VLOOKUP(G153,'Crosswalk Detail'!A:B,2,FALSE)</f>
        <v>#N/A</v>
      </c>
      <c r="I153" s="32"/>
      <c r="J153" s="32"/>
      <c r="K153" s="32"/>
      <c r="L153" s="32"/>
      <c r="M153" s="32"/>
      <c r="N153" s="32"/>
      <c r="O153" s="32"/>
      <c r="P153" s="32"/>
      <c r="Q153" s="32"/>
      <c r="R153" s="32"/>
      <c r="S153" s="32"/>
      <c r="T153" s="32"/>
      <c r="U153" s="32"/>
      <c r="V153" s="32"/>
      <c r="W153" s="32"/>
      <c r="X153" s="32"/>
      <c r="Y153" s="32"/>
      <c r="Z153" s="32"/>
    </row>
    <row r="154" ht="144.0" customHeight="1">
      <c r="A154" s="198" t="str">
        <f>'High Risk Non-Compliant'!B110</f>
        <v>DATA-20</v>
      </c>
      <c r="B154" s="199" t="str">
        <f>'High Risk Non-Compliant'!C110</f>
        <v>Are you performing off site backups? (i.e. digitally moved off site)</v>
      </c>
      <c r="C154" s="3"/>
      <c r="D154" s="200" t="str">
        <f>'High Risk Non-Compliant'!D110</f>
        <v/>
      </c>
      <c r="E154" s="2"/>
      <c r="F154" s="3"/>
      <c r="G154" s="111" t="str">
        <f>VLOOKUP(A154,'High Risk Non-Compliant'!B:K,$H$48,FALSE)</f>
        <v>#N/A</v>
      </c>
      <c r="H154" s="111" t="str">
        <f>VLOOKUP(G154,'Crosswalk Detail'!A:B,2,FALSE)</f>
        <v>#N/A</v>
      </c>
      <c r="I154" s="32"/>
      <c r="J154" s="32"/>
      <c r="K154" s="32"/>
      <c r="L154" s="32"/>
      <c r="M154" s="32"/>
      <c r="N154" s="32"/>
      <c r="O154" s="32"/>
      <c r="P154" s="32"/>
      <c r="Q154" s="32"/>
      <c r="R154" s="32"/>
      <c r="S154" s="32"/>
      <c r="T154" s="32"/>
      <c r="U154" s="32"/>
      <c r="V154" s="32"/>
      <c r="W154" s="32"/>
      <c r="X154" s="32"/>
      <c r="Y154" s="32"/>
      <c r="Z154" s="32"/>
    </row>
    <row r="155" ht="144.0" customHeight="1">
      <c r="A155" s="198" t="str">
        <f>'High Risk Non-Compliant'!B111</f>
        <v>DATA-21</v>
      </c>
      <c r="B155" s="199" t="str">
        <f>'High Risk Non-Compliant'!C111</f>
        <v>Are physical backups taken off site? (i.e. physically moved off site)</v>
      </c>
      <c r="C155" s="3"/>
      <c r="D155" s="200" t="str">
        <f>'High Risk Non-Compliant'!D111</f>
        <v/>
      </c>
      <c r="E155" s="2"/>
      <c r="F155" s="3"/>
      <c r="G155" s="111" t="str">
        <f>VLOOKUP(A155,'High Risk Non-Compliant'!B:K,$H$48,FALSE)</f>
        <v>#N/A</v>
      </c>
      <c r="H155" s="111" t="str">
        <f>VLOOKUP(G155,'Crosswalk Detail'!A:B,2,FALSE)</f>
        <v>#N/A</v>
      </c>
      <c r="I155" s="32"/>
      <c r="J155" s="32"/>
      <c r="K155" s="32"/>
      <c r="L155" s="32"/>
      <c r="M155" s="32"/>
      <c r="N155" s="32"/>
      <c r="O155" s="32"/>
      <c r="P155" s="32"/>
      <c r="Q155" s="32"/>
      <c r="R155" s="32"/>
      <c r="S155" s="32"/>
      <c r="T155" s="32"/>
      <c r="U155" s="32"/>
      <c r="V155" s="32"/>
      <c r="W155" s="32"/>
      <c r="X155" s="32"/>
      <c r="Y155" s="32"/>
      <c r="Z155" s="32"/>
    </row>
    <row r="156" ht="144.0" customHeight="1">
      <c r="A156" s="198" t="str">
        <f>'High Risk Non-Compliant'!B112</f>
        <v>DATA-22</v>
      </c>
      <c r="B156" s="199" t="str">
        <f>'High Risk Non-Compliant'!C112</f>
        <v>Do backups containing the institution's data ever leave the Institution's Data Zone either physically or via network routing?</v>
      </c>
      <c r="C156" s="3"/>
      <c r="D156" s="200" t="str">
        <f>'High Risk Non-Compliant'!D112</f>
        <v/>
      </c>
      <c r="E156" s="2"/>
      <c r="F156" s="3"/>
      <c r="G156" s="111" t="str">
        <f>VLOOKUP(A156,'High Risk Non-Compliant'!B:K,$H$48,FALSE)</f>
        <v>#N/A</v>
      </c>
      <c r="H156" s="111" t="str">
        <f>VLOOKUP(G156,'Crosswalk Detail'!A:B,2,FALSE)</f>
        <v>#N/A</v>
      </c>
      <c r="I156" s="32"/>
      <c r="J156" s="32"/>
      <c r="K156" s="32"/>
      <c r="L156" s="32"/>
      <c r="M156" s="32"/>
      <c r="N156" s="32"/>
      <c r="O156" s="32"/>
      <c r="P156" s="32"/>
      <c r="Q156" s="32"/>
      <c r="R156" s="32"/>
      <c r="S156" s="32"/>
      <c r="T156" s="32"/>
      <c r="U156" s="32"/>
      <c r="V156" s="32"/>
      <c r="W156" s="32"/>
      <c r="X156" s="32"/>
      <c r="Y156" s="32"/>
      <c r="Z156" s="32"/>
    </row>
    <row r="157" ht="144.0" customHeight="1">
      <c r="A157" s="198" t="str">
        <f>'High Risk Non-Compliant'!B113</f>
        <v>DATA-23</v>
      </c>
      <c r="B157" s="199" t="str">
        <f>'High Risk Non-Compliant'!C113</f>
        <v>Do you have a media handling process, that is documented and currently implemented, including end-of-life, repurposing, and data sanitization procedures?</v>
      </c>
      <c r="C157" s="3"/>
      <c r="D157" s="200" t="str">
        <f>'High Risk Non-Compliant'!D113</f>
        <v>No media handling process. All backups are stored on AWS</v>
      </c>
      <c r="E157" s="2"/>
      <c r="F157" s="3"/>
      <c r="G157" s="111" t="str">
        <f>VLOOKUP(A157,'High Risk Non-Compliant'!B:K,$H$48,FALSE)</f>
        <v>#N/A</v>
      </c>
      <c r="H157" s="111" t="str">
        <f>VLOOKUP(G157,'Crosswalk Detail'!A:B,2,FALSE)</f>
        <v>#N/A</v>
      </c>
      <c r="I157" s="32"/>
      <c r="J157" s="32"/>
      <c r="K157" s="32"/>
      <c r="L157" s="32"/>
      <c r="M157" s="32"/>
      <c r="N157" s="32"/>
      <c r="O157" s="32"/>
      <c r="P157" s="32"/>
      <c r="Q157" s="32"/>
      <c r="R157" s="32"/>
      <c r="S157" s="32"/>
      <c r="T157" s="32"/>
      <c r="U157" s="32"/>
      <c r="V157" s="32"/>
      <c r="W157" s="32"/>
      <c r="X157" s="32"/>
      <c r="Y157" s="32"/>
      <c r="Z157" s="32"/>
    </row>
    <row r="158" ht="144.0" customHeight="1">
      <c r="A158" s="198" t="str">
        <f>'High Risk Non-Compliant'!B114</f>
        <v>DATA-24</v>
      </c>
      <c r="B158" s="199" t="str">
        <f>'High Risk Non-Compliant'!C114</f>
        <v>Does the process described in DATA-23 adhere to DoD 5220.22-M and/or NIST SP 800-88 standards?</v>
      </c>
      <c r="C158" s="3"/>
      <c r="D158" s="200" t="str">
        <f>'High Risk Non-Compliant'!D114</f>
        <v/>
      </c>
      <c r="E158" s="2"/>
      <c r="F158" s="3"/>
      <c r="G158" s="111" t="str">
        <f>VLOOKUP(A158,'High Risk Non-Compliant'!B:K,$H$48,FALSE)</f>
        <v>#N/A</v>
      </c>
      <c r="H158" s="111" t="str">
        <f>VLOOKUP(G158,'Crosswalk Detail'!A:B,2,FALSE)</f>
        <v>#N/A</v>
      </c>
      <c r="I158" s="32"/>
      <c r="J158" s="32"/>
      <c r="K158" s="32"/>
      <c r="L158" s="32"/>
      <c r="M158" s="32"/>
      <c r="N158" s="32"/>
      <c r="O158" s="32"/>
      <c r="P158" s="32"/>
      <c r="Q158" s="32"/>
      <c r="R158" s="32"/>
      <c r="S158" s="32"/>
      <c r="T158" s="32"/>
      <c r="U158" s="32"/>
      <c r="V158" s="32"/>
      <c r="W158" s="32"/>
      <c r="X158" s="32"/>
      <c r="Y158" s="32"/>
      <c r="Z158" s="32"/>
    </row>
    <row r="159" ht="144.0" customHeight="1">
      <c r="A159" s="198" t="str">
        <f>'High Risk Non-Compliant'!B115</f>
        <v>DATA-25</v>
      </c>
      <c r="B159" s="199" t="str">
        <f>'High Risk Non-Compliant'!C115</f>
        <v>Do procedures exist to ensure that retention and destruction of data meets established business and regulatory requirements?</v>
      </c>
      <c r="C159" s="3"/>
      <c r="D159" s="200" t="str">
        <f>'High Risk Non-Compliant'!D115</f>
        <v>GDPR compliant</v>
      </c>
      <c r="E159" s="2"/>
      <c r="F159" s="3"/>
      <c r="G159" s="111" t="str">
        <f>VLOOKUP(A159,'High Risk Non-Compliant'!B:K,$H$48,FALSE)</f>
        <v>#N/A</v>
      </c>
      <c r="H159" s="111" t="str">
        <f>VLOOKUP(G159,'Crosswalk Detail'!A:B,2,FALSE)</f>
        <v>#N/A</v>
      </c>
      <c r="I159" s="32"/>
      <c r="J159" s="32"/>
      <c r="K159" s="32"/>
      <c r="L159" s="32"/>
      <c r="M159" s="32"/>
      <c r="N159" s="32"/>
      <c r="O159" s="32"/>
      <c r="P159" s="32"/>
      <c r="Q159" s="32"/>
      <c r="R159" s="32"/>
      <c r="S159" s="32"/>
      <c r="T159" s="32"/>
      <c r="U159" s="32"/>
      <c r="V159" s="32"/>
      <c r="W159" s="32"/>
      <c r="X159" s="32"/>
      <c r="Y159" s="32"/>
      <c r="Z159" s="32"/>
    </row>
    <row r="160" ht="144.0" customHeight="1">
      <c r="A160" s="198" t="str">
        <f>'High Risk Non-Compliant'!B116</f>
        <v>DATA-26</v>
      </c>
      <c r="B160" s="199" t="str">
        <f>'High Risk Non-Compliant'!C116</f>
        <v>Is media used for long-term retention of business data and archival purposes stored in a secure, environmentally protected area?</v>
      </c>
      <c r="C160" s="3"/>
      <c r="D160" s="200" t="str">
        <f>'High Risk Non-Compliant'!D116</f>
        <v/>
      </c>
      <c r="E160" s="2"/>
      <c r="F160" s="3"/>
      <c r="G160" s="111" t="str">
        <f>VLOOKUP(A160,'High Risk Non-Compliant'!B:K,$H$48,FALSE)</f>
        <v>#N/A</v>
      </c>
      <c r="H160" s="111" t="str">
        <f>VLOOKUP(G160,'Crosswalk Detail'!A:B,2,FALSE)</f>
        <v>#N/A</v>
      </c>
      <c r="I160" s="32"/>
      <c r="J160" s="32"/>
      <c r="K160" s="32"/>
      <c r="L160" s="32"/>
      <c r="M160" s="32"/>
      <c r="N160" s="32"/>
      <c r="O160" s="32"/>
      <c r="P160" s="32"/>
      <c r="Q160" s="32"/>
      <c r="R160" s="32"/>
      <c r="S160" s="32"/>
      <c r="T160" s="32"/>
      <c r="U160" s="32"/>
      <c r="V160" s="32"/>
      <c r="W160" s="32"/>
      <c r="X160" s="32"/>
      <c r="Y160" s="32"/>
      <c r="Z160" s="32"/>
    </row>
    <row r="161" ht="144.0" customHeight="1">
      <c r="A161" s="198" t="str">
        <f>'High Risk Non-Compliant'!B117</f>
        <v>DATA-27</v>
      </c>
      <c r="B161" s="199" t="str">
        <f>'High Risk Non-Compliant'!C117</f>
        <v>Will you handle data in a FERPA compliant manner?</v>
      </c>
      <c r="C161" s="3"/>
      <c r="D161" s="200" t="str">
        <f>'High Risk Non-Compliant'!D117</f>
        <v/>
      </c>
      <c r="E161" s="2"/>
      <c r="F161" s="3"/>
      <c r="G161" s="111" t="str">
        <f>VLOOKUP(A161,'High Risk Non-Compliant'!B:K,$H$48,FALSE)</f>
        <v>#N/A</v>
      </c>
      <c r="H161" s="111" t="str">
        <f>VLOOKUP(G161,'Crosswalk Detail'!A:B,2,FALSE)</f>
        <v>#N/A</v>
      </c>
      <c r="I161" s="32"/>
      <c r="J161" s="32"/>
      <c r="K161" s="32"/>
      <c r="L161" s="32"/>
      <c r="M161" s="32"/>
      <c r="N161" s="32"/>
      <c r="O161" s="32"/>
      <c r="P161" s="32"/>
      <c r="Q161" s="32"/>
      <c r="R161" s="32"/>
      <c r="S161" s="32"/>
      <c r="T161" s="32"/>
      <c r="U161" s="32"/>
      <c r="V161" s="32"/>
      <c r="W161" s="32"/>
      <c r="X161" s="32"/>
      <c r="Y161" s="32"/>
      <c r="Z161" s="32"/>
    </row>
    <row r="162" ht="144.0" customHeight="1">
      <c r="A162" s="198" t="str">
        <f>'High Risk Non-Compliant'!B118</f>
        <v>DATA-28</v>
      </c>
      <c r="B162" s="199" t="str">
        <f>'High Risk Non-Compliant'!C118</f>
        <v>Is any institution data visible in system administration modules/tools?</v>
      </c>
      <c r="C162" s="3"/>
      <c r="D162" s="200" t="str">
        <f>'High Risk Non-Compliant'!D118</f>
        <v/>
      </c>
      <c r="E162" s="2"/>
      <c r="F162" s="3"/>
      <c r="G162" s="111" t="str">
        <f>VLOOKUP(A162,'High Risk Non-Compliant'!B:K,$H$48,FALSE)</f>
        <v>#N/A</v>
      </c>
      <c r="H162" s="111" t="str">
        <f>VLOOKUP(G162,'Crosswalk Detail'!A:B,2,FALSE)</f>
        <v>#N/A</v>
      </c>
      <c r="I162" s="32"/>
      <c r="J162" s="32"/>
      <c r="K162" s="32"/>
      <c r="L162" s="32"/>
      <c r="M162" s="32"/>
      <c r="N162" s="32"/>
      <c r="O162" s="32"/>
      <c r="P162" s="32"/>
      <c r="Q162" s="32"/>
      <c r="R162" s="32"/>
      <c r="S162" s="32"/>
      <c r="T162" s="32"/>
      <c r="U162" s="32"/>
      <c r="V162" s="32"/>
      <c r="W162" s="32"/>
      <c r="X162" s="32"/>
      <c r="Y162" s="32"/>
      <c r="Z162" s="32"/>
    </row>
    <row r="163" ht="144.0" customHeight="1">
      <c r="A163" s="198" t="str">
        <f>'High Risk Non-Compliant'!B119</f>
        <v>DBAS-01</v>
      </c>
      <c r="B163" s="199" t="str">
        <f>'High Risk Non-Compliant'!C119</f>
        <v>Does the database support encryption of specified data elements in storage?</v>
      </c>
      <c r="C163" s="3"/>
      <c r="D163" s="200" t="str">
        <f>'High Risk Non-Compliant'!D119</f>
        <v>Encryption is at rest; https://cloud.google.com/security/encryption-at-rest/</v>
      </c>
      <c r="E163" s="2"/>
      <c r="F163" s="3"/>
      <c r="G163" s="111" t="str">
        <f>VLOOKUP(A163,'High Risk Non-Compliant'!B:K,$H$48,FALSE)</f>
        <v>#N/A</v>
      </c>
      <c r="H163" s="111" t="str">
        <f>VLOOKUP(G163,'Crosswalk Detail'!A:B,2,FALSE)</f>
        <v>#N/A</v>
      </c>
      <c r="I163" s="32"/>
      <c r="J163" s="32"/>
      <c r="K163" s="32"/>
      <c r="L163" s="32"/>
      <c r="M163" s="32"/>
      <c r="N163" s="32"/>
      <c r="O163" s="32"/>
      <c r="P163" s="32"/>
      <c r="Q163" s="32"/>
      <c r="R163" s="32"/>
      <c r="S163" s="32"/>
      <c r="T163" s="32"/>
      <c r="U163" s="32"/>
      <c r="V163" s="32"/>
      <c r="W163" s="32"/>
      <c r="X163" s="32"/>
      <c r="Y163" s="32"/>
      <c r="Z163" s="32"/>
    </row>
    <row r="164" ht="144.0" customHeight="1">
      <c r="A164" s="198" t="str">
        <f>'High Risk Non-Compliant'!B120</f>
        <v>DBAS-02</v>
      </c>
      <c r="B164" s="199" t="str">
        <f>'High Risk Non-Compliant'!C120</f>
        <v>Do you currently use encryption in your database(s)?</v>
      </c>
      <c r="C164" s="3"/>
      <c r="D164" s="200" t="str">
        <f>'High Risk Non-Compliant'!D120</f>
        <v>Encryption is at rest; https://cloud.google.com/security/encryption-at-rest/</v>
      </c>
      <c r="E164" s="2"/>
      <c r="F164" s="3"/>
      <c r="G164" s="111" t="str">
        <f>VLOOKUP(A164,'High Risk Non-Compliant'!B:K,$H$48,FALSE)</f>
        <v>#N/A</v>
      </c>
      <c r="H164" s="111" t="str">
        <f>VLOOKUP(G164,'Crosswalk Detail'!A:B,2,FALSE)</f>
        <v>#N/A</v>
      </c>
      <c r="I164" s="32"/>
      <c r="J164" s="32"/>
      <c r="K164" s="32"/>
      <c r="L164" s="32"/>
      <c r="M164" s="32"/>
      <c r="N164" s="32"/>
      <c r="O164" s="32"/>
      <c r="P164" s="32"/>
      <c r="Q164" s="32"/>
      <c r="R164" s="32"/>
      <c r="S164" s="32"/>
      <c r="T164" s="32"/>
      <c r="U164" s="32"/>
      <c r="V164" s="32"/>
      <c r="W164" s="32"/>
      <c r="X164" s="32"/>
      <c r="Y164" s="32"/>
      <c r="Z164" s="32"/>
    </row>
    <row r="165" ht="144.0" customHeight="1">
      <c r="A165" s="198" t="str">
        <f>'High Risk Non-Compliant'!B121</f>
        <v>DCTR-01</v>
      </c>
      <c r="B165" s="199" t="str">
        <f>'High Risk Non-Compliant'!C121</f>
        <v>Does your company own the physical data center where the Institution's data will reside?</v>
      </c>
      <c r="C165" s="3"/>
      <c r="D165" s="200" t="str">
        <f>'High Risk Non-Compliant'!D121</f>
        <v/>
      </c>
      <c r="E165" s="2"/>
      <c r="F165" s="3"/>
      <c r="G165" s="111" t="str">
        <f>VLOOKUP(A165,'High Risk Non-Compliant'!B:K,$H$48,FALSE)</f>
        <v>#N/A</v>
      </c>
      <c r="H165" s="111" t="str">
        <f>VLOOKUP(G165,'Crosswalk Detail'!A:B,2,FALSE)</f>
        <v>#N/A</v>
      </c>
      <c r="I165" s="32"/>
      <c r="J165" s="32"/>
      <c r="K165" s="32"/>
      <c r="L165" s="32"/>
      <c r="M165" s="32"/>
      <c r="N165" s="32"/>
      <c r="O165" s="32"/>
      <c r="P165" s="32"/>
      <c r="Q165" s="32"/>
      <c r="R165" s="32"/>
      <c r="S165" s="32"/>
      <c r="T165" s="32"/>
      <c r="U165" s="32"/>
      <c r="V165" s="32"/>
      <c r="W165" s="32"/>
      <c r="X165" s="32"/>
      <c r="Y165" s="32"/>
      <c r="Z165" s="32"/>
    </row>
    <row r="166" ht="144.0" customHeight="1">
      <c r="A166" s="198" t="str">
        <f>'High Risk Non-Compliant'!B122</f>
        <v>DCTR-02</v>
      </c>
      <c r="B166" s="199" t="str">
        <f>'High Risk Non-Compliant'!C122</f>
        <v>Does the hosting provider have a SOC 2 Type 2 report available?</v>
      </c>
      <c r="C166" s="3"/>
      <c r="D166" s="213" t="str">
        <f>'High Risk Non-Compliant'!D122</f>
        <v>https://cloud.google.com/security/compliance/soc-2/</v>
      </c>
      <c r="E166" s="2"/>
      <c r="F166" s="3"/>
      <c r="G166" s="111" t="str">
        <f>VLOOKUP(A166,'High Risk Non-Compliant'!B:K,$H$48,FALSE)</f>
        <v>#N/A</v>
      </c>
      <c r="H166" s="111" t="str">
        <f>VLOOKUP(G166,'Crosswalk Detail'!A:B,2,FALSE)</f>
        <v>#N/A</v>
      </c>
      <c r="I166" s="32"/>
      <c r="J166" s="32"/>
      <c r="K166" s="32"/>
      <c r="L166" s="32"/>
      <c r="M166" s="32"/>
      <c r="N166" s="32"/>
      <c r="O166" s="32"/>
      <c r="P166" s="32"/>
      <c r="Q166" s="32"/>
      <c r="R166" s="32"/>
      <c r="S166" s="32"/>
      <c r="T166" s="32"/>
      <c r="U166" s="32"/>
      <c r="V166" s="32"/>
      <c r="W166" s="32"/>
      <c r="X166" s="32"/>
      <c r="Y166" s="32"/>
      <c r="Z166" s="32"/>
    </row>
    <row r="167" ht="144.0" customHeight="1">
      <c r="A167" s="198" t="str">
        <f>'High Risk Non-Compliant'!B123</f>
        <v>DCTR-03</v>
      </c>
      <c r="B167" s="199" t="str">
        <f>'High Risk Non-Compliant'!C123</f>
        <v>Are the data centers staffed 24 hours a day, seven days a week (i.e 24x7x365)?</v>
      </c>
      <c r="C167" s="3"/>
      <c r="D167" s="213" t="str">
        <f>'High Risk Non-Compliant'!D123</f>
        <v>https://cloud.google.com/security</v>
      </c>
      <c r="E167" s="2"/>
      <c r="F167" s="3"/>
      <c r="G167" s="111" t="str">
        <f>VLOOKUP(A167,'High Risk Non-Compliant'!B:K,$H$48,FALSE)</f>
        <v>#N/A</v>
      </c>
      <c r="H167" s="111" t="str">
        <f>VLOOKUP(G167,'Crosswalk Detail'!A:B,2,FALSE)</f>
        <v>#N/A</v>
      </c>
      <c r="I167" s="32"/>
      <c r="J167" s="32"/>
      <c r="K167" s="32"/>
      <c r="L167" s="32"/>
      <c r="M167" s="32"/>
      <c r="N167" s="32"/>
      <c r="O167" s="32"/>
      <c r="P167" s="32"/>
      <c r="Q167" s="32"/>
      <c r="R167" s="32"/>
      <c r="S167" s="32"/>
      <c r="T167" s="32"/>
      <c r="U167" s="32"/>
      <c r="V167" s="32"/>
      <c r="W167" s="32"/>
      <c r="X167" s="32"/>
      <c r="Y167" s="32"/>
      <c r="Z167" s="32"/>
    </row>
    <row r="168" ht="144.0" customHeight="1">
      <c r="A168" s="198" t="str">
        <f>'High Risk Non-Compliant'!B124</f>
        <v>DCTR-04</v>
      </c>
      <c r="B168" s="199" t="str">
        <f>'High Risk Non-Compliant'!C124</f>
        <v>Do any of your servers reside in a co-located data center?</v>
      </c>
      <c r="C168" s="3"/>
      <c r="D168" s="200" t="str">
        <f>'High Risk Non-Compliant'!D124</f>
        <v>Google Cloud</v>
      </c>
      <c r="E168" s="2"/>
      <c r="F168" s="3"/>
      <c r="G168" s="111" t="str">
        <f>VLOOKUP(A168,'High Risk Non-Compliant'!B:K,$H$48,FALSE)</f>
        <v>#N/A</v>
      </c>
      <c r="H168" s="111" t="str">
        <f>VLOOKUP(G168,'Crosswalk Detail'!A:B,2,FALSE)</f>
        <v>#N/A</v>
      </c>
      <c r="I168" s="32"/>
      <c r="J168" s="32"/>
      <c r="K168" s="32"/>
      <c r="L168" s="32"/>
      <c r="M168" s="32"/>
      <c r="N168" s="32"/>
      <c r="O168" s="32"/>
      <c r="P168" s="32"/>
      <c r="Q168" s="32"/>
      <c r="R168" s="32"/>
      <c r="S168" s="32"/>
      <c r="T168" s="32"/>
      <c r="U168" s="32"/>
      <c r="V168" s="32"/>
      <c r="W168" s="32"/>
      <c r="X168" s="32"/>
      <c r="Y168" s="32"/>
      <c r="Z168" s="32"/>
    </row>
    <row r="169" ht="144.0" customHeight="1">
      <c r="A169" s="198" t="str">
        <f>'High Risk Non-Compliant'!B125</f>
        <v>DCTR-05</v>
      </c>
      <c r="B169" s="199" t="str">
        <f>'High Risk Non-Compliant'!C125</f>
        <v>Are your servers separated from other companies via a physical barrier, such as a cage or hardened walls?</v>
      </c>
      <c r="C169" s="3"/>
      <c r="D169" s="200" t="str">
        <f>'High Risk Non-Compliant'!D125</f>
        <v/>
      </c>
      <c r="E169" s="2"/>
      <c r="F169" s="3"/>
      <c r="G169" s="111" t="str">
        <f>VLOOKUP(A169,'High Risk Non-Compliant'!B:K,$H$48,FALSE)</f>
        <v>#N/A</v>
      </c>
      <c r="H169" s="111" t="str">
        <f>VLOOKUP(G169,'Crosswalk Detail'!A:B,2,FALSE)</f>
        <v>#N/A</v>
      </c>
      <c r="I169" s="32"/>
      <c r="J169" s="32"/>
      <c r="K169" s="32"/>
      <c r="L169" s="32"/>
      <c r="M169" s="32"/>
      <c r="N169" s="32"/>
      <c r="O169" s="32"/>
      <c r="P169" s="32"/>
      <c r="Q169" s="32"/>
      <c r="R169" s="32"/>
      <c r="S169" s="32"/>
      <c r="T169" s="32"/>
      <c r="U169" s="32"/>
      <c r="V169" s="32"/>
      <c r="W169" s="32"/>
      <c r="X169" s="32"/>
      <c r="Y169" s="32"/>
      <c r="Z169" s="32"/>
    </row>
    <row r="170" ht="144.0" customHeight="1">
      <c r="A170" s="198" t="str">
        <f>'High Risk Non-Compliant'!B126</f>
        <v>DCTR-06</v>
      </c>
      <c r="B170" s="199" t="str">
        <f>'High Risk Non-Compliant'!C126</f>
        <v>Does a physical barrier fully enclose the physical space preventing unauthorized physical contact with any of your devices?</v>
      </c>
      <c r="C170" s="3"/>
      <c r="D170" s="200" t="str">
        <f>'High Risk Non-Compliant'!D126</f>
        <v/>
      </c>
      <c r="E170" s="2"/>
      <c r="F170" s="3"/>
      <c r="G170" s="111" t="str">
        <f>VLOOKUP(A170,'High Risk Non-Compliant'!B:K,$H$48,FALSE)</f>
        <v>#N/A</v>
      </c>
      <c r="H170" s="111" t="str">
        <f>VLOOKUP(G170,'Crosswalk Detail'!A:B,2,FALSE)</f>
        <v>#N/A</v>
      </c>
      <c r="I170" s="32"/>
      <c r="J170" s="32"/>
      <c r="K170" s="32"/>
      <c r="L170" s="32"/>
      <c r="M170" s="32"/>
      <c r="N170" s="32"/>
      <c r="O170" s="32"/>
      <c r="P170" s="32"/>
      <c r="Q170" s="32"/>
      <c r="R170" s="32"/>
      <c r="S170" s="32"/>
      <c r="T170" s="32"/>
      <c r="U170" s="32"/>
      <c r="V170" s="32"/>
      <c r="W170" s="32"/>
      <c r="X170" s="32"/>
      <c r="Y170" s="32"/>
      <c r="Z170" s="32"/>
    </row>
    <row r="171" ht="144.0" customHeight="1">
      <c r="A171" s="198" t="str">
        <f>'High Risk Non-Compliant'!B127</f>
        <v>DCTR-07</v>
      </c>
      <c r="B171" s="199" t="str">
        <f>'High Risk Non-Compliant'!C127</f>
        <v>Select the option that best describes the network segment that servers are connected to.</v>
      </c>
      <c r="C171" s="3"/>
      <c r="D171" s="200" t="str">
        <f>'High Risk Non-Compliant'!D127</f>
        <v>Google Cloud</v>
      </c>
      <c r="E171" s="2"/>
      <c r="F171" s="3"/>
      <c r="G171" s="111" t="str">
        <f>VLOOKUP(A171,'High Risk Non-Compliant'!B:K,$H$48,FALSE)</f>
        <v>#N/A</v>
      </c>
      <c r="H171" s="111" t="str">
        <f>VLOOKUP(G171,'Crosswalk Detail'!A:B,2,FALSE)</f>
        <v>#N/A</v>
      </c>
      <c r="I171" s="32"/>
      <c r="J171" s="32"/>
      <c r="K171" s="32"/>
      <c r="L171" s="32"/>
      <c r="M171" s="32"/>
      <c r="N171" s="32"/>
      <c r="O171" s="32"/>
      <c r="P171" s="32"/>
      <c r="Q171" s="32"/>
      <c r="R171" s="32"/>
      <c r="S171" s="32"/>
      <c r="T171" s="32"/>
      <c r="U171" s="32"/>
      <c r="V171" s="32"/>
      <c r="W171" s="32"/>
      <c r="X171" s="32"/>
      <c r="Y171" s="32"/>
      <c r="Z171" s="32"/>
    </row>
    <row r="172" ht="144.0" customHeight="1">
      <c r="A172" s="198" t="str">
        <f>'High Risk Non-Compliant'!B128</f>
        <v>DCTR-08</v>
      </c>
      <c r="B172" s="199" t="str">
        <f>'High Risk Non-Compliant'!C128</f>
        <v>Does this data center operate outside of the Institution's Data Zone?</v>
      </c>
      <c r="C172" s="3"/>
      <c r="D172" s="200" t="str">
        <f>'High Risk Non-Compliant'!D128</f>
        <v/>
      </c>
      <c r="E172" s="2"/>
      <c r="F172" s="3"/>
      <c r="G172" s="111" t="str">
        <f>VLOOKUP(A172,'High Risk Non-Compliant'!B:K,$H$48,FALSE)</f>
        <v>#N/A</v>
      </c>
      <c r="H172" s="111" t="str">
        <f>VLOOKUP(G172,'Crosswalk Detail'!A:B,2,FALSE)</f>
        <v>#N/A</v>
      </c>
      <c r="I172" s="32"/>
      <c r="J172" s="32"/>
      <c r="K172" s="32"/>
      <c r="L172" s="32"/>
      <c r="M172" s="32"/>
      <c r="N172" s="32"/>
      <c r="O172" s="32"/>
      <c r="P172" s="32"/>
      <c r="Q172" s="32"/>
      <c r="R172" s="32"/>
      <c r="S172" s="32"/>
      <c r="T172" s="32"/>
      <c r="U172" s="32"/>
      <c r="V172" s="32"/>
      <c r="W172" s="32"/>
      <c r="X172" s="32"/>
      <c r="Y172" s="32"/>
      <c r="Z172" s="32"/>
    </row>
    <row r="173" ht="144.0" customHeight="1">
      <c r="A173" s="198" t="str">
        <f>'High Risk Non-Compliant'!B129</f>
        <v>DCTR-09</v>
      </c>
      <c r="B173" s="199" t="str">
        <f>'High Risk Non-Compliant'!C129</f>
        <v>Will any institution data leave the Institution's Data Zone?</v>
      </c>
      <c r="C173" s="3"/>
      <c r="D173" s="200" t="str">
        <f>'High Risk Non-Compliant'!D129</f>
        <v/>
      </c>
      <c r="E173" s="2"/>
      <c r="F173" s="3"/>
      <c r="G173" s="111" t="str">
        <f>VLOOKUP(A173,'High Risk Non-Compliant'!B:K,$H$48,FALSE)</f>
        <v>#N/A</v>
      </c>
      <c r="H173" s="111" t="str">
        <f>VLOOKUP(G173,'Crosswalk Detail'!A:B,2,FALSE)</f>
        <v>#N/A</v>
      </c>
      <c r="I173" s="32"/>
      <c r="J173" s="32"/>
      <c r="K173" s="32"/>
      <c r="L173" s="32"/>
      <c r="M173" s="32"/>
      <c r="N173" s="32"/>
      <c r="O173" s="32"/>
      <c r="P173" s="32"/>
      <c r="Q173" s="32"/>
      <c r="R173" s="32"/>
      <c r="S173" s="32"/>
      <c r="T173" s="32"/>
      <c r="U173" s="32"/>
      <c r="V173" s="32"/>
      <c r="W173" s="32"/>
      <c r="X173" s="32"/>
      <c r="Y173" s="32"/>
      <c r="Z173" s="32"/>
    </row>
    <row r="174" ht="144.0" customHeight="1">
      <c r="A174" s="198" t="str">
        <f>'High Risk Non-Compliant'!B130</f>
        <v>DCTR-11</v>
      </c>
      <c r="B174" s="199" t="str">
        <f>'High Risk Non-Compliant'!C130</f>
        <v>Are your primary and secondary data centers geographically diverse?</v>
      </c>
      <c r="C174" s="3"/>
      <c r="D174" s="200" t="str">
        <f>'High Risk Non-Compliant'!D130</f>
        <v>Google Gloud &amp; Amazon AWS</v>
      </c>
      <c r="E174" s="2"/>
      <c r="F174" s="3"/>
      <c r="G174" s="111" t="str">
        <f>VLOOKUP(A174,'High Risk Non-Compliant'!B:K,$H$48,FALSE)</f>
        <v>#N/A</v>
      </c>
      <c r="H174" s="111" t="str">
        <f>VLOOKUP(G174,'Crosswalk Detail'!A:B,2,FALSE)</f>
        <v>#N/A</v>
      </c>
      <c r="I174" s="32"/>
      <c r="J174" s="32"/>
      <c r="K174" s="32"/>
      <c r="L174" s="32"/>
      <c r="M174" s="32"/>
      <c r="N174" s="32"/>
      <c r="O174" s="32"/>
      <c r="P174" s="32"/>
      <c r="Q174" s="32"/>
      <c r="R174" s="32"/>
      <c r="S174" s="32"/>
      <c r="T174" s="32"/>
      <c r="U174" s="32"/>
      <c r="V174" s="32"/>
      <c r="W174" s="32"/>
      <c r="X174" s="32"/>
      <c r="Y174" s="32"/>
      <c r="Z174" s="32"/>
    </row>
    <row r="175" ht="144.0" customHeight="1">
      <c r="A175" s="198" t="str">
        <f>'High Risk Non-Compliant'!B131</f>
        <v>DCTR-12</v>
      </c>
      <c r="B175" s="199" t="str">
        <f>'High Risk Non-Compliant'!C131</f>
        <v>If outsourced or co-located, is there a contract in place to prevent data from leaving the Institution's Data Zone?</v>
      </c>
      <c r="C175" s="3"/>
      <c r="D175" s="200" t="str">
        <f>'High Risk Non-Compliant'!D131</f>
        <v/>
      </c>
      <c r="E175" s="2"/>
      <c r="F175" s="3"/>
      <c r="G175" s="111" t="str">
        <f>VLOOKUP(A175,'High Risk Non-Compliant'!B:K,$H$48,FALSE)</f>
        <v>#N/A</v>
      </c>
      <c r="H175" s="111" t="str">
        <f>VLOOKUP(G175,'Crosswalk Detail'!A:B,2,FALSE)</f>
        <v>#N/A</v>
      </c>
      <c r="I175" s="32"/>
      <c r="J175" s="32"/>
      <c r="K175" s="32"/>
      <c r="L175" s="32"/>
      <c r="M175" s="32"/>
      <c r="N175" s="32"/>
      <c r="O175" s="32"/>
      <c r="P175" s="32"/>
      <c r="Q175" s="32"/>
      <c r="R175" s="32"/>
      <c r="S175" s="32"/>
      <c r="T175" s="32"/>
      <c r="U175" s="32"/>
      <c r="V175" s="32"/>
      <c r="W175" s="32"/>
      <c r="X175" s="32"/>
      <c r="Y175" s="32"/>
      <c r="Z175" s="32"/>
    </row>
    <row r="176" ht="144.0" customHeight="1">
      <c r="A176" s="198" t="str">
        <f>'High Risk Non-Compliant'!B132</f>
        <v>DCTR-13</v>
      </c>
      <c r="B176" s="199" t="str">
        <f>'High Risk Non-Compliant'!C132</f>
        <v>What Tier Level is your data center (per levels defined by the Uptime Institute)?</v>
      </c>
      <c r="C176" s="3"/>
      <c r="D176" s="200" t="str">
        <f>'High Risk Non-Compliant'!D132</f>
        <v>Google Cloud</v>
      </c>
      <c r="E176" s="2"/>
      <c r="F176" s="3"/>
      <c r="G176" s="111" t="str">
        <f>VLOOKUP(A176,'High Risk Non-Compliant'!B:K,$H$48,FALSE)</f>
        <v>#N/A</v>
      </c>
      <c r="H176" s="111" t="str">
        <f>VLOOKUP(G176,'Crosswalk Detail'!A:B,2,FALSE)</f>
        <v>#N/A</v>
      </c>
      <c r="I176" s="32"/>
      <c r="J176" s="32"/>
      <c r="K176" s="32"/>
      <c r="L176" s="32"/>
      <c r="M176" s="32"/>
      <c r="N176" s="32"/>
      <c r="O176" s="32"/>
      <c r="P176" s="32"/>
      <c r="Q176" s="32"/>
      <c r="R176" s="32"/>
      <c r="S176" s="32"/>
      <c r="T176" s="32"/>
      <c r="U176" s="32"/>
      <c r="V176" s="32"/>
      <c r="W176" s="32"/>
      <c r="X176" s="32"/>
      <c r="Y176" s="32"/>
      <c r="Z176" s="32"/>
    </row>
    <row r="177" ht="144.0" customHeight="1">
      <c r="A177" s="198" t="str">
        <f>'High Risk Non-Compliant'!B133</f>
        <v>DCTR-14</v>
      </c>
      <c r="B177" s="199" t="str">
        <f>'High Risk Non-Compliant'!C133</f>
        <v>Is the service hosted in a high availability environment?</v>
      </c>
      <c r="C177" s="3"/>
      <c r="D177" s="200" t="str">
        <f>'High Risk Non-Compliant'!D133</f>
        <v>Google Cloud</v>
      </c>
      <c r="E177" s="2"/>
      <c r="F177" s="3"/>
      <c r="G177" s="111" t="str">
        <f>VLOOKUP(A177,'High Risk Non-Compliant'!B:K,$H$48,FALSE)</f>
        <v>#N/A</v>
      </c>
      <c r="H177" s="111" t="str">
        <f>VLOOKUP(G177,'Crosswalk Detail'!A:B,2,FALSE)</f>
        <v>#N/A</v>
      </c>
      <c r="I177" s="32"/>
      <c r="J177" s="32"/>
      <c r="K177" s="32"/>
      <c r="L177" s="32"/>
      <c r="M177" s="32"/>
      <c r="N177" s="32"/>
      <c r="O177" s="32"/>
      <c r="P177" s="32"/>
      <c r="Q177" s="32"/>
      <c r="R177" s="32"/>
      <c r="S177" s="32"/>
      <c r="T177" s="32"/>
      <c r="U177" s="32"/>
      <c r="V177" s="32"/>
      <c r="W177" s="32"/>
      <c r="X177" s="32"/>
      <c r="Y177" s="32"/>
      <c r="Z177" s="32"/>
    </row>
    <row r="178" ht="144.0" customHeight="1">
      <c r="A178" s="198" t="str">
        <f>'High Risk Non-Compliant'!B134</f>
        <v>DCTR-15</v>
      </c>
      <c r="B178" s="199" t="str">
        <f>'High Risk Non-Compliant'!C134</f>
        <v>Is redundant power available for all datacenters where institution data will reside? </v>
      </c>
      <c r="C178" s="3"/>
      <c r="D178" s="213" t="str">
        <f>'High Risk Non-Compliant'!D134</f>
        <v>https://cloud.google.com/security</v>
      </c>
      <c r="E178" s="2"/>
      <c r="F178" s="3"/>
      <c r="G178" s="111" t="str">
        <f>VLOOKUP(A178,'High Risk Non-Compliant'!B:K,$H$48,FALSE)</f>
        <v>#N/A</v>
      </c>
      <c r="H178" s="111" t="str">
        <f>VLOOKUP(G178,'Crosswalk Detail'!A:B,2,FALSE)</f>
        <v>#N/A</v>
      </c>
      <c r="I178" s="32"/>
      <c r="J178" s="32"/>
      <c r="K178" s="32"/>
      <c r="L178" s="32"/>
      <c r="M178" s="32"/>
      <c r="N178" s="32"/>
      <c r="O178" s="32"/>
      <c r="P178" s="32"/>
      <c r="Q178" s="32"/>
      <c r="R178" s="32"/>
      <c r="S178" s="32"/>
      <c r="T178" s="32"/>
      <c r="U178" s="32"/>
      <c r="V178" s="32"/>
      <c r="W178" s="32"/>
      <c r="X178" s="32"/>
      <c r="Y178" s="32"/>
      <c r="Z178" s="32"/>
    </row>
    <row r="179" ht="144.0" customHeight="1">
      <c r="A179" s="198" t="str">
        <f>'High Risk Non-Compliant'!B135</f>
        <v>DCTR-16</v>
      </c>
      <c r="B179" s="199" t="str">
        <f>'High Risk Non-Compliant'!C135</f>
        <v>Are redundant power strategies tested?</v>
      </c>
      <c r="C179" s="3"/>
      <c r="D179" s="213" t="str">
        <f>'High Risk Non-Compliant'!D135</f>
        <v>https://cloud.google.com/security</v>
      </c>
      <c r="E179" s="2"/>
      <c r="F179" s="3"/>
      <c r="G179" s="111" t="str">
        <f>VLOOKUP(A179,'High Risk Non-Compliant'!B:K,$H$48,FALSE)</f>
        <v>#N/A</v>
      </c>
      <c r="H179" s="111" t="str">
        <f>VLOOKUP(G179,'Crosswalk Detail'!A:B,2,FALSE)</f>
        <v>#N/A</v>
      </c>
      <c r="I179" s="32"/>
      <c r="J179" s="32"/>
      <c r="K179" s="32"/>
      <c r="L179" s="32"/>
      <c r="M179" s="32"/>
      <c r="N179" s="32"/>
      <c r="O179" s="32"/>
      <c r="P179" s="32"/>
      <c r="Q179" s="32"/>
      <c r="R179" s="32"/>
      <c r="S179" s="32"/>
      <c r="T179" s="32"/>
      <c r="U179" s="32"/>
      <c r="V179" s="32"/>
      <c r="W179" s="32"/>
      <c r="X179" s="32"/>
      <c r="Y179" s="32"/>
      <c r="Z179" s="32"/>
    </row>
    <row r="180" ht="144.0" customHeight="1">
      <c r="A180" s="198" t="str">
        <f>'High Risk Non-Compliant'!B136</f>
        <v>DCTR-17</v>
      </c>
      <c r="B180" s="199" t="str">
        <f>'High Risk Non-Compliant'!C136</f>
        <v>Describe or provide a reference to the availability of cooling and fire suppression systems in all datacenters where institution data will reside.</v>
      </c>
      <c r="C180" s="3"/>
      <c r="D180" s="200" t="str">
        <f>'High Risk Non-Compliant'!D136</f>
        <v/>
      </c>
      <c r="E180" s="2"/>
      <c r="F180" s="3"/>
      <c r="G180" s="111" t="str">
        <f>VLOOKUP(A180,'High Risk Non-Compliant'!B:K,$H$48,FALSE)</f>
        <v>#N/A</v>
      </c>
      <c r="H180" s="111" t="str">
        <f>VLOOKUP(G180,'Crosswalk Detail'!A:B,2,FALSE)</f>
        <v>#N/A</v>
      </c>
      <c r="I180" s="32"/>
      <c r="J180" s="32"/>
      <c r="K180" s="32"/>
      <c r="L180" s="32"/>
      <c r="M180" s="32"/>
      <c r="N180" s="32"/>
      <c r="O180" s="32"/>
      <c r="P180" s="32"/>
      <c r="Q180" s="32"/>
      <c r="R180" s="32"/>
      <c r="S180" s="32"/>
      <c r="T180" s="32"/>
      <c r="U180" s="32"/>
      <c r="V180" s="32"/>
      <c r="W180" s="32"/>
      <c r="X180" s="32"/>
      <c r="Y180" s="32"/>
      <c r="Z180" s="32"/>
    </row>
    <row r="181" ht="144.0" customHeight="1">
      <c r="A181" s="198" t="str">
        <f>'High Risk Non-Compliant'!B137</f>
        <v>DCTR-18</v>
      </c>
      <c r="B181" s="199" t="str">
        <f>'High Risk Non-Compliant'!C137</f>
        <v>State how many Internet Service Providers (ISPs) provide connectivity to each datacenter where the institution's data will reside. </v>
      </c>
      <c r="C181" s="3"/>
      <c r="D181" s="200" t="str">
        <f>'High Risk Non-Compliant'!D137</f>
        <v/>
      </c>
      <c r="E181" s="2"/>
      <c r="F181" s="3"/>
      <c r="G181" s="111" t="str">
        <f>VLOOKUP(A181,'High Risk Non-Compliant'!B:K,$H$48,FALSE)</f>
        <v>#N/A</v>
      </c>
      <c r="H181" s="111" t="str">
        <f>VLOOKUP(G181,'Crosswalk Detail'!A:B,2,FALSE)</f>
        <v>#N/A</v>
      </c>
      <c r="I181" s="32"/>
      <c r="J181" s="32"/>
      <c r="K181" s="32"/>
      <c r="L181" s="32"/>
      <c r="M181" s="32"/>
      <c r="N181" s="32"/>
      <c r="O181" s="32"/>
      <c r="P181" s="32"/>
      <c r="Q181" s="32"/>
      <c r="R181" s="32"/>
      <c r="S181" s="32"/>
      <c r="T181" s="32"/>
      <c r="U181" s="32"/>
      <c r="V181" s="32"/>
      <c r="W181" s="32"/>
      <c r="X181" s="32"/>
      <c r="Y181" s="32"/>
      <c r="Z181" s="32"/>
    </row>
    <row r="182" ht="144.0" customHeight="1">
      <c r="A182" s="198" t="str">
        <f>'High Risk Non-Compliant'!B138</f>
        <v>DCTR-19</v>
      </c>
      <c r="B182" s="199" t="str">
        <f>'High Risk Non-Compliant'!C138</f>
        <v>Does every datacenter where the Institution's data will reside have multiple telephone company or network provider entrances to the facility?</v>
      </c>
      <c r="C182" s="3"/>
      <c r="D182" s="200" t="str">
        <f>'High Risk Non-Compliant'!D138</f>
        <v>Unknown</v>
      </c>
      <c r="E182" s="2"/>
      <c r="F182" s="3"/>
      <c r="G182" s="111" t="str">
        <f>VLOOKUP(A182,'High Risk Non-Compliant'!B:K,$H$48,FALSE)</f>
        <v>#N/A</v>
      </c>
      <c r="H182" s="111" t="str">
        <f>VLOOKUP(G182,'Crosswalk Detail'!A:B,2,FALSE)</f>
        <v>#N/A</v>
      </c>
      <c r="I182" s="32"/>
      <c r="J182" s="32"/>
      <c r="K182" s="32"/>
      <c r="L182" s="32"/>
      <c r="M182" s="32"/>
      <c r="N182" s="32"/>
      <c r="O182" s="32"/>
      <c r="P182" s="32"/>
      <c r="Q182" s="32"/>
      <c r="R182" s="32"/>
      <c r="S182" s="32"/>
      <c r="T182" s="32"/>
      <c r="U182" s="32"/>
      <c r="V182" s="32"/>
      <c r="W182" s="32"/>
      <c r="X182" s="32"/>
      <c r="Y182" s="32"/>
      <c r="Z182" s="32"/>
    </row>
    <row r="183" ht="144.0" customHeight="1">
      <c r="A183" s="198" t="str">
        <f>'High Risk Non-Compliant'!B139</f>
        <v>DRPL-01</v>
      </c>
      <c r="B183" s="199" t="str">
        <f>'High Risk Non-Compliant'!C139</f>
        <v>Describe or provide a reference to your Disaster Recovery Plan (DRP).</v>
      </c>
      <c r="C183" s="3"/>
      <c r="D183" s="200" t="str">
        <f>'High Risk Non-Compliant'!D139</f>
        <v/>
      </c>
      <c r="E183" s="2"/>
      <c r="F183" s="3"/>
      <c r="G183" s="111" t="str">
        <f>VLOOKUP(A183,'High Risk Non-Compliant'!B:K,$H$48,FALSE)</f>
        <v>#N/A</v>
      </c>
      <c r="H183" s="111" t="str">
        <f>VLOOKUP(G183,'Crosswalk Detail'!A:B,2,FALSE)</f>
        <v>#N/A</v>
      </c>
      <c r="I183" s="32"/>
      <c r="J183" s="32"/>
      <c r="K183" s="32"/>
      <c r="L183" s="32"/>
      <c r="M183" s="32"/>
      <c r="N183" s="32"/>
      <c r="O183" s="32"/>
      <c r="P183" s="32"/>
      <c r="Q183" s="32"/>
      <c r="R183" s="32"/>
      <c r="S183" s="32"/>
      <c r="T183" s="32"/>
      <c r="U183" s="32"/>
      <c r="V183" s="32"/>
      <c r="W183" s="32"/>
      <c r="X183" s="32"/>
      <c r="Y183" s="32"/>
      <c r="Z183" s="32"/>
    </row>
    <row r="184" ht="144.0" customHeight="1">
      <c r="A184" s="198" t="str">
        <f>'High Risk Non-Compliant'!B140</f>
        <v>DRPL-02</v>
      </c>
      <c r="B184" s="199" t="str">
        <f>'High Risk Non-Compliant'!C140</f>
        <v>Is an owner assigned who is responsible for the maintenance and review of the DRP?</v>
      </c>
      <c r="C184" s="3"/>
      <c r="D184" s="200" t="str">
        <f>'High Risk Non-Compliant'!D140</f>
        <v/>
      </c>
      <c r="E184" s="2"/>
      <c r="F184" s="3"/>
      <c r="G184" s="111" t="str">
        <f>VLOOKUP(A184,'High Risk Non-Compliant'!B:K,$H$48,FALSE)</f>
        <v>#N/A</v>
      </c>
      <c r="H184" s="111" t="str">
        <f>VLOOKUP(G184,'Crosswalk Detail'!A:B,2,FALSE)</f>
        <v>#N/A</v>
      </c>
      <c r="I184" s="32"/>
      <c r="J184" s="32"/>
      <c r="K184" s="32"/>
      <c r="L184" s="32"/>
      <c r="M184" s="32"/>
      <c r="N184" s="32"/>
      <c r="O184" s="32"/>
      <c r="P184" s="32"/>
      <c r="Q184" s="32"/>
      <c r="R184" s="32"/>
      <c r="S184" s="32"/>
      <c r="T184" s="32"/>
      <c r="U184" s="32"/>
      <c r="V184" s="32"/>
      <c r="W184" s="32"/>
      <c r="X184" s="32"/>
      <c r="Y184" s="32"/>
      <c r="Z184" s="32"/>
    </row>
    <row r="185" ht="144.0" customHeight="1">
      <c r="A185" s="198" t="str">
        <f>'High Risk Non-Compliant'!B141</f>
        <v>DRPL-03</v>
      </c>
      <c r="B185" s="199" t="str">
        <f>'High Risk Non-Compliant'!C141</f>
        <v>Can the Institution review your DRP and supporting documentation?</v>
      </c>
      <c r="C185" s="3"/>
      <c r="D185" s="200" t="str">
        <f>'High Risk Non-Compliant'!D141</f>
        <v/>
      </c>
      <c r="E185" s="2"/>
      <c r="F185" s="3"/>
      <c r="G185" s="111" t="str">
        <f>VLOOKUP(A185,'High Risk Non-Compliant'!B:K,$H$48,FALSE)</f>
        <v>#N/A</v>
      </c>
      <c r="H185" s="111" t="str">
        <f>VLOOKUP(G185,'Crosswalk Detail'!A:B,2,FALSE)</f>
        <v>#N/A</v>
      </c>
      <c r="I185" s="32"/>
      <c r="J185" s="32"/>
      <c r="K185" s="32"/>
      <c r="L185" s="32"/>
      <c r="M185" s="32"/>
      <c r="N185" s="32"/>
      <c r="O185" s="32"/>
      <c r="P185" s="32"/>
      <c r="Q185" s="32"/>
      <c r="R185" s="32"/>
      <c r="S185" s="32"/>
      <c r="T185" s="32"/>
      <c r="U185" s="32"/>
      <c r="V185" s="32"/>
      <c r="W185" s="32"/>
      <c r="X185" s="32"/>
      <c r="Y185" s="32"/>
      <c r="Z185" s="32"/>
    </row>
    <row r="186" ht="144.0" customHeight="1">
      <c r="A186" s="198" t="str">
        <f>'High Risk Non-Compliant'!B142</f>
        <v>DRPL-04</v>
      </c>
      <c r="B186" s="199" t="str">
        <f>'High Risk Non-Compliant'!C142</f>
        <v>Are any disaster recovery locations outside the Institution's Data Zone?</v>
      </c>
      <c r="C186" s="3"/>
      <c r="D186" s="200" t="str">
        <f>'High Risk Non-Compliant'!D142</f>
        <v/>
      </c>
      <c r="E186" s="2"/>
      <c r="F186" s="3"/>
      <c r="G186" s="111" t="str">
        <f>VLOOKUP(A186,'High Risk Non-Compliant'!B:K,$H$48,FALSE)</f>
        <v>#N/A</v>
      </c>
      <c r="H186" s="111" t="str">
        <f>VLOOKUP(G186,'Crosswalk Detail'!A:B,2,FALSE)</f>
        <v>#N/A</v>
      </c>
      <c r="I186" s="32"/>
      <c r="J186" s="32"/>
      <c r="K186" s="32"/>
      <c r="L186" s="32"/>
      <c r="M186" s="32"/>
      <c r="N186" s="32"/>
      <c r="O186" s="32"/>
      <c r="P186" s="32"/>
      <c r="Q186" s="32"/>
      <c r="R186" s="32"/>
      <c r="S186" s="32"/>
      <c r="T186" s="32"/>
      <c r="U186" s="32"/>
      <c r="V186" s="32"/>
      <c r="W186" s="32"/>
      <c r="X186" s="32"/>
      <c r="Y186" s="32"/>
      <c r="Z186" s="32"/>
    </row>
    <row r="187" ht="144.0" customHeight="1">
      <c r="A187" s="198" t="str">
        <f>'High Risk Non-Compliant'!B143</f>
        <v>DRPL-05</v>
      </c>
      <c r="B187" s="199" t="str">
        <f>'High Risk Non-Compliant'!C143</f>
        <v>Does your organization have a disaster recovery site or a contracted Disaster Recovery provider?</v>
      </c>
      <c r="C187" s="3"/>
      <c r="D187" s="200" t="str">
        <f>'High Risk Non-Compliant'!D143</f>
        <v/>
      </c>
      <c r="E187" s="2"/>
      <c r="F187" s="3"/>
      <c r="G187" s="111" t="str">
        <f>VLOOKUP(A187,'High Risk Non-Compliant'!B:K,$H$48,FALSE)</f>
        <v>#N/A</v>
      </c>
      <c r="H187" s="111" t="str">
        <f>VLOOKUP(G187,'Crosswalk Detail'!A:B,2,FALSE)</f>
        <v>#N/A</v>
      </c>
      <c r="I187" s="32"/>
      <c r="J187" s="32"/>
      <c r="K187" s="32"/>
      <c r="L187" s="32"/>
      <c r="M187" s="32"/>
      <c r="N187" s="32"/>
      <c r="O187" s="32"/>
      <c r="P187" s="32"/>
      <c r="Q187" s="32"/>
      <c r="R187" s="32"/>
      <c r="S187" s="32"/>
      <c r="T187" s="32"/>
      <c r="U187" s="32"/>
      <c r="V187" s="32"/>
      <c r="W187" s="32"/>
      <c r="X187" s="32"/>
      <c r="Y187" s="32"/>
      <c r="Z187" s="32"/>
    </row>
    <row r="188" ht="144.0" customHeight="1">
      <c r="A188" s="198" t="str">
        <f>'High Risk Non-Compliant'!B144</f>
        <v>DRPL-07</v>
      </c>
      <c r="B188" s="199" t="str">
        <f>'High Risk Non-Compliant'!C144</f>
        <v>Is there a defined problem/issue escalation plan in your DRP for impacted clients?</v>
      </c>
      <c r="C188" s="3"/>
      <c r="D188" s="200" t="str">
        <f>'High Risk Non-Compliant'!D144</f>
        <v>Issues affecting clients are automatically escalated to the highest priority level</v>
      </c>
      <c r="E188" s="2"/>
      <c r="F188" s="3"/>
      <c r="G188" s="111" t="str">
        <f>VLOOKUP(A188,'High Risk Non-Compliant'!B:K,$H$48,FALSE)</f>
        <v>#N/A</v>
      </c>
      <c r="H188" s="111" t="str">
        <f>VLOOKUP(G188,'Crosswalk Detail'!A:B,2,FALSE)</f>
        <v>#N/A</v>
      </c>
      <c r="I188" s="32"/>
      <c r="J188" s="32"/>
      <c r="K188" s="32"/>
      <c r="L188" s="32"/>
      <c r="M188" s="32"/>
      <c r="N188" s="32"/>
      <c r="O188" s="32"/>
      <c r="P188" s="32"/>
      <c r="Q188" s="32"/>
      <c r="R188" s="32"/>
      <c r="S188" s="32"/>
      <c r="T188" s="32"/>
      <c r="U188" s="32"/>
      <c r="V188" s="32"/>
      <c r="W188" s="32"/>
      <c r="X188" s="32"/>
      <c r="Y188" s="32"/>
      <c r="Z188" s="32"/>
    </row>
    <row r="189" ht="144.0" customHeight="1">
      <c r="A189" s="198" t="str">
        <f>'High Risk Non-Compliant'!B145</f>
        <v>DRPL-08</v>
      </c>
      <c r="B189" s="199" t="str">
        <f>'High Risk Non-Compliant'!C145</f>
        <v>Is there a documented communication plan in your DRP for impacted clients?</v>
      </c>
      <c r="C189" s="3"/>
      <c r="D189" s="200" t="str">
        <f>'High Risk Non-Compliant'!D145</f>
        <v>We will communicate to clients within 48 hours indicating issues, and resolution status</v>
      </c>
      <c r="E189" s="2"/>
      <c r="F189" s="3"/>
      <c r="G189" s="111" t="str">
        <f>VLOOKUP(A189,'High Risk Non-Compliant'!B:K,$H$48,FALSE)</f>
        <v>#N/A</v>
      </c>
      <c r="H189" s="111" t="str">
        <f>VLOOKUP(G189,'Crosswalk Detail'!A:B,2,FALSE)</f>
        <v>#N/A</v>
      </c>
      <c r="I189" s="32"/>
      <c r="J189" s="32"/>
      <c r="K189" s="32"/>
      <c r="L189" s="32"/>
      <c r="M189" s="32"/>
      <c r="N189" s="32"/>
      <c r="O189" s="32"/>
      <c r="P189" s="32"/>
      <c r="Q189" s="32"/>
      <c r="R189" s="32"/>
      <c r="S189" s="32"/>
      <c r="T189" s="32"/>
      <c r="U189" s="32"/>
      <c r="V189" s="32"/>
      <c r="W189" s="32"/>
      <c r="X189" s="32"/>
      <c r="Y189" s="32"/>
      <c r="Z189" s="32"/>
    </row>
    <row r="190" ht="144.0" customHeight="1">
      <c r="A190" s="198" t="str">
        <f>'High Risk Non-Compliant'!B146</f>
        <v>DRPL-09</v>
      </c>
      <c r="B190" s="199" t="str">
        <f>'High Risk Non-Compliant'!C146</f>
        <v>Describe or provide a reference to how your disaster recovery plan is tested? (i.e. scope of DR tests, end-to-end testing, etc.)</v>
      </c>
      <c r="C190" s="3"/>
      <c r="D190" s="200" t="str">
        <f>'High Risk Non-Compliant'!D146</f>
        <v/>
      </c>
      <c r="E190" s="2"/>
      <c r="F190" s="3"/>
      <c r="G190" s="111" t="str">
        <f>VLOOKUP(A190,'High Risk Non-Compliant'!B:K,$H$48,FALSE)</f>
        <v>#N/A</v>
      </c>
      <c r="H190" s="111" t="str">
        <f>VLOOKUP(G190,'Crosswalk Detail'!A:B,2,FALSE)</f>
        <v>#N/A</v>
      </c>
      <c r="I190" s="32"/>
      <c r="J190" s="32"/>
      <c r="K190" s="32"/>
      <c r="L190" s="32"/>
      <c r="M190" s="32"/>
      <c r="N190" s="32"/>
      <c r="O190" s="32"/>
      <c r="P190" s="32"/>
      <c r="Q190" s="32"/>
      <c r="R190" s="32"/>
      <c r="S190" s="32"/>
      <c r="T190" s="32"/>
      <c r="U190" s="32"/>
      <c r="V190" s="32"/>
      <c r="W190" s="32"/>
      <c r="X190" s="32"/>
      <c r="Y190" s="32"/>
      <c r="Z190" s="32"/>
    </row>
    <row r="191" ht="144.0" customHeight="1">
      <c r="A191" s="198" t="str">
        <f>'High Risk Non-Compliant'!B147</f>
        <v>DRPL-11</v>
      </c>
      <c r="B191" s="199" t="str">
        <f>'High Risk Non-Compliant'!C147</f>
        <v>Do the documented test results identify your organizations actual recovery time capabilities for technology and facilities?</v>
      </c>
      <c r="C191" s="3"/>
      <c r="D191" s="200" t="str">
        <f>'High Risk Non-Compliant'!D147</f>
        <v/>
      </c>
      <c r="E191" s="2"/>
      <c r="F191" s="3"/>
      <c r="G191" s="111" t="str">
        <f>VLOOKUP(A191,'High Risk Non-Compliant'!B:K,$H$48,FALSE)</f>
        <v>#N/A</v>
      </c>
      <c r="H191" s="111" t="str">
        <f>VLOOKUP(G191,'Crosswalk Detail'!A:B,2,FALSE)</f>
        <v>#N/A</v>
      </c>
      <c r="I191" s="32"/>
      <c r="J191" s="32"/>
      <c r="K191" s="32"/>
      <c r="L191" s="32"/>
      <c r="M191" s="32"/>
      <c r="N191" s="32"/>
      <c r="O191" s="32"/>
      <c r="P191" s="32"/>
      <c r="Q191" s="32"/>
      <c r="R191" s="32"/>
      <c r="S191" s="32"/>
      <c r="T191" s="32"/>
      <c r="U191" s="32"/>
      <c r="V191" s="32"/>
      <c r="W191" s="32"/>
      <c r="X191" s="32"/>
      <c r="Y191" s="32"/>
      <c r="Z191" s="32"/>
    </row>
    <row r="192" ht="144.0" customHeight="1">
      <c r="A192" s="198" t="str">
        <f>'High Risk Non-Compliant'!B148</f>
        <v>DRPL-12</v>
      </c>
      <c r="B192" s="199" t="str">
        <f>'High Risk Non-Compliant'!C148</f>
        <v>Are all components of the DRP reviewed at least annually and updated as needed to reflect change? </v>
      </c>
      <c r="C192" s="3"/>
      <c r="D192" s="200" t="str">
        <f>'High Risk Non-Compliant'!D148</f>
        <v>We review and update the DRP quarterly</v>
      </c>
      <c r="E192" s="2"/>
      <c r="F192" s="3"/>
      <c r="G192" s="111" t="str">
        <f>VLOOKUP(A192,'High Risk Non-Compliant'!B:K,$H$48,FALSE)</f>
        <v>#N/A</v>
      </c>
      <c r="H192" s="111" t="str">
        <f>VLOOKUP(G192,'Crosswalk Detail'!A:B,2,FALSE)</f>
        <v>#N/A</v>
      </c>
      <c r="I192" s="32"/>
      <c r="J192" s="32"/>
      <c r="K192" s="32"/>
      <c r="L192" s="32"/>
      <c r="M192" s="32"/>
      <c r="N192" s="32"/>
      <c r="O192" s="32"/>
      <c r="P192" s="32"/>
      <c r="Q192" s="32"/>
      <c r="R192" s="32"/>
      <c r="S192" s="32"/>
      <c r="T192" s="32"/>
      <c r="U192" s="32"/>
      <c r="V192" s="32"/>
      <c r="W192" s="32"/>
      <c r="X192" s="32"/>
      <c r="Y192" s="32"/>
      <c r="Z192" s="32"/>
    </row>
    <row r="193" ht="144.0" customHeight="1">
      <c r="A193" s="198" t="str">
        <f>'High Risk Non-Compliant'!B149</f>
        <v>DRPL-13</v>
      </c>
      <c r="B193" s="199" t="str">
        <f>'High Risk Non-Compliant'!C149</f>
        <v>Do you carry cyber-risk insurance to protect against unforeseen service outages, data that is lost or stolen, and security incidents?</v>
      </c>
      <c r="C193" s="3"/>
      <c r="D193" s="200" t="str">
        <f>'High Risk Non-Compliant'!D149</f>
        <v>Cyber Risk policy</v>
      </c>
      <c r="E193" s="2"/>
      <c r="F193" s="3"/>
      <c r="G193" s="111" t="str">
        <f>VLOOKUP(A193,'High Risk Non-Compliant'!B:K,$H$48,FALSE)</f>
        <v>#N/A</v>
      </c>
      <c r="H193" s="111" t="str">
        <f>VLOOKUP(G193,'Crosswalk Detail'!A:B,2,FALSE)</f>
        <v>#N/A</v>
      </c>
      <c r="I193" s="32"/>
      <c r="J193" s="32"/>
      <c r="K193" s="32"/>
      <c r="L193" s="32"/>
      <c r="M193" s="32"/>
      <c r="N193" s="32"/>
      <c r="O193" s="32"/>
      <c r="P193" s="32"/>
      <c r="Q193" s="32"/>
      <c r="R193" s="32"/>
      <c r="S193" s="32"/>
      <c r="T193" s="32"/>
      <c r="U193" s="32"/>
      <c r="V193" s="32"/>
      <c r="W193" s="32"/>
      <c r="X193" s="32"/>
      <c r="Y193" s="32"/>
      <c r="Z193" s="32"/>
    </row>
    <row r="194" ht="144.0" customHeight="1">
      <c r="A194" s="198" t="str">
        <f>'High Risk Non-Compliant'!B150</f>
        <v>FIDP-01</v>
      </c>
      <c r="B194" s="199" t="str">
        <f>'High Risk Non-Compliant'!C150</f>
        <v>Are you utilizing a web application firewall (WAF)?</v>
      </c>
      <c r="C194" s="3"/>
      <c r="D194" s="200" t="str">
        <f>'High Risk Non-Compliant'!D150</f>
        <v>Reverse proxy; rules for XSS/SQL Inj.</v>
      </c>
      <c r="E194" s="2"/>
      <c r="F194" s="3"/>
      <c r="G194" s="111" t="str">
        <f>VLOOKUP(A194,'High Risk Non-Compliant'!B:K,$H$48,FALSE)</f>
        <v>#N/A</v>
      </c>
      <c r="H194" s="111" t="str">
        <f>VLOOKUP(G194,'Crosswalk Detail'!A:B,2,FALSE)</f>
        <v>#N/A</v>
      </c>
      <c r="I194" s="32"/>
      <c r="J194" s="32"/>
      <c r="K194" s="32"/>
      <c r="L194" s="32"/>
      <c r="M194" s="32"/>
      <c r="N194" s="32"/>
      <c r="O194" s="32"/>
      <c r="P194" s="32"/>
      <c r="Q194" s="32"/>
      <c r="R194" s="32"/>
      <c r="S194" s="32"/>
      <c r="T194" s="32"/>
      <c r="U194" s="32"/>
      <c r="V194" s="32"/>
      <c r="W194" s="32"/>
      <c r="X194" s="32"/>
      <c r="Y194" s="32"/>
      <c r="Z194" s="32"/>
    </row>
    <row r="195" ht="144.0" customHeight="1">
      <c r="A195" s="198" t="str">
        <f>'High Risk Non-Compliant'!B151</f>
        <v>FIDP-02</v>
      </c>
      <c r="B195" s="199" t="str">
        <f>'High Risk Non-Compliant'!C151</f>
        <v>Are you utilizing a stateful packet inspection (SPI) firewall?</v>
      </c>
      <c r="C195" s="3"/>
      <c r="D195" s="200" t="str">
        <f>'High Risk Non-Compliant'!D151</f>
        <v/>
      </c>
      <c r="E195" s="2"/>
      <c r="F195" s="3"/>
      <c r="G195" s="111" t="str">
        <f>VLOOKUP(A195,'High Risk Non-Compliant'!B:K,$H$48,FALSE)</f>
        <v>#N/A</v>
      </c>
      <c r="H195" s="111" t="str">
        <f>VLOOKUP(G195,'Crosswalk Detail'!A:B,2,FALSE)</f>
        <v>#N/A</v>
      </c>
      <c r="I195" s="32"/>
      <c r="J195" s="32"/>
      <c r="K195" s="32"/>
      <c r="L195" s="32"/>
      <c r="M195" s="32"/>
      <c r="N195" s="32"/>
      <c r="O195" s="32"/>
      <c r="P195" s="32"/>
      <c r="Q195" s="32"/>
      <c r="R195" s="32"/>
      <c r="S195" s="32"/>
      <c r="T195" s="32"/>
      <c r="U195" s="32"/>
      <c r="V195" s="32"/>
      <c r="W195" s="32"/>
      <c r="X195" s="32"/>
      <c r="Y195" s="32"/>
      <c r="Z195" s="32"/>
    </row>
    <row r="196" ht="144.0" customHeight="1">
      <c r="A196" s="198" t="str">
        <f>'High Risk Non-Compliant'!B152</f>
        <v>FIDP-03</v>
      </c>
      <c r="B196" s="199" t="str">
        <f>'High Risk Non-Compliant'!C152</f>
        <v>State and describe who has the authority to change firewall rules?</v>
      </c>
      <c r="C196" s="3"/>
      <c r="D196" s="200" t="str">
        <f>'High Risk Non-Compliant'!D152</f>
        <v/>
      </c>
      <c r="E196" s="2"/>
      <c r="F196" s="3"/>
      <c r="G196" s="111" t="str">
        <f>VLOOKUP(A196,'High Risk Non-Compliant'!B:K,$H$48,FALSE)</f>
        <v>#N/A</v>
      </c>
      <c r="H196" s="111" t="str">
        <f>VLOOKUP(G196,'Crosswalk Detail'!A:B,2,FALSE)</f>
        <v>#N/A</v>
      </c>
      <c r="I196" s="32"/>
      <c r="J196" s="32"/>
      <c r="K196" s="32"/>
      <c r="L196" s="32"/>
      <c r="M196" s="32"/>
      <c r="N196" s="32"/>
      <c r="O196" s="32"/>
      <c r="P196" s="32"/>
      <c r="Q196" s="32"/>
      <c r="R196" s="32"/>
      <c r="S196" s="32"/>
      <c r="T196" s="32"/>
      <c r="U196" s="32"/>
      <c r="V196" s="32"/>
      <c r="W196" s="32"/>
      <c r="X196" s="32"/>
      <c r="Y196" s="32"/>
      <c r="Z196" s="32"/>
    </row>
    <row r="197" ht="144.0" customHeight="1">
      <c r="A197" s="198" t="str">
        <f>'High Risk Non-Compliant'!B153</f>
        <v>FIDP-04</v>
      </c>
      <c r="B197" s="199" t="str">
        <f>'High Risk Non-Compliant'!C153</f>
        <v>Do you have a documented policy for firewall change requests?</v>
      </c>
      <c r="C197" s="3"/>
      <c r="D197" s="200" t="str">
        <f>'High Risk Non-Compliant'!D153</f>
        <v>(1) Form is provided 
(2) Upon receipt of form, request is evaluated 
(3) request approved or denied 
(4) request implemented or form is resent </v>
      </c>
      <c r="E197" s="2"/>
      <c r="F197" s="3"/>
      <c r="G197" s="111" t="str">
        <f>VLOOKUP(A197,'High Risk Non-Compliant'!B:K,$H$48,FALSE)</f>
        <v>#N/A</v>
      </c>
      <c r="H197" s="111" t="str">
        <f>VLOOKUP(G197,'Crosswalk Detail'!A:B,2,FALSE)</f>
        <v>#N/A</v>
      </c>
      <c r="I197" s="32"/>
      <c r="J197" s="32"/>
      <c r="K197" s="32"/>
      <c r="L197" s="32"/>
      <c r="M197" s="32"/>
      <c r="N197" s="32"/>
      <c r="O197" s="32"/>
      <c r="P197" s="32"/>
      <c r="Q197" s="32"/>
      <c r="R197" s="32"/>
      <c r="S197" s="32"/>
      <c r="T197" s="32"/>
      <c r="U197" s="32"/>
      <c r="V197" s="32"/>
      <c r="W197" s="32"/>
      <c r="X197" s="32"/>
      <c r="Y197" s="32"/>
      <c r="Z197" s="32"/>
    </row>
    <row r="198" ht="144.0" customHeight="1">
      <c r="A198" s="198" t="str">
        <f>'High Risk Non-Compliant'!B154</f>
        <v>FIDP-05</v>
      </c>
      <c r="B198" s="199" t="str">
        <f>'High Risk Non-Compliant'!C154</f>
        <v>Have you implemented an Intrusion Detection System (network-based)?</v>
      </c>
      <c r="C198" s="3"/>
      <c r="D198" s="200" t="str">
        <f>'High Risk Non-Compliant'!D154</f>
        <v>Stackdriver monitoring is used</v>
      </c>
      <c r="E198" s="2"/>
      <c r="F198" s="3"/>
      <c r="G198" s="111" t="str">
        <f>VLOOKUP(A198,'High Risk Non-Compliant'!B:K,$H$48,FALSE)</f>
        <v>#N/A</v>
      </c>
      <c r="H198" s="111" t="str">
        <f>VLOOKUP(G198,'Crosswalk Detail'!A:B,2,FALSE)</f>
        <v>#N/A</v>
      </c>
      <c r="I198" s="32"/>
      <c r="J198" s="32"/>
      <c r="K198" s="32"/>
      <c r="L198" s="32"/>
      <c r="M198" s="32"/>
      <c r="N198" s="32"/>
      <c r="O198" s="32"/>
      <c r="P198" s="32"/>
      <c r="Q198" s="32"/>
      <c r="R198" s="32"/>
      <c r="S198" s="32"/>
      <c r="T198" s="32"/>
      <c r="U198" s="32"/>
      <c r="V198" s="32"/>
      <c r="W198" s="32"/>
      <c r="X198" s="32"/>
      <c r="Y198" s="32"/>
      <c r="Z198" s="32"/>
    </row>
    <row r="199" ht="144.0" customHeight="1">
      <c r="A199" s="198" t="str">
        <f>'High Risk Non-Compliant'!B155</f>
        <v>FIDP-06</v>
      </c>
      <c r="B199" s="199" t="str">
        <f>'High Risk Non-Compliant'!C155</f>
        <v>Have you implemented an Intrusion Prevention System (network-based)?</v>
      </c>
      <c r="C199" s="3"/>
      <c r="D199" s="200" t="str">
        <f>'High Risk Non-Compliant'!D155</f>
        <v>SNORT</v>
      </c>
      <c r="E199" s="2"/>
      <c r="F199" s="3"/>
      <c r="G199" s="111" t="str">
        <f>VLOOKUP(A199,'High Risk Non-Compliant'!B:K,$H$48,FALSE)</f>
        <v>#N/A</v>
      </c>
      <c r="H199" s="111" t="str">
        <f>VLOOKUP(G199,'Crosswalk Detail'!A:B,2,FALSE)</f>
        <v>#N/A</v>
      </c>
      <c r="I199" s="32"/>
      <c r="J199" s="32"/>
      <c r="K199" s="32"/>
      <c r="L199" s="32"/>
      <c r="M199" s="32"/>
      <c r="N199" s="32"/>
      <c r="O199" s="32"/>
      <c r="P199" s="32"/>
      <c r="Q199" s="32"/>
      <c r="R199" s="32"/>
      <c r="S199" s="32"/>
      <c r="T199" s="32"/>
      <c r="U199" s="32"/>
      <c r="V199" s="32"/>
      <c r="W199" s="32"/>
      <c r="X199" s="32"/>
      <c r="Y199" s="32"/>
      <c r="Z199" s="32"/>
    </row>
    <row r="200" ht="144.0" customHeight="1">
      <c r="A200" s="198" t="str">
        <f>'High Risk Non-Compliant'!B156</f>
        <v>FIDP-07</v>
      </c>
      <c r="B200" s="199" t="str">
        <f>'High Risk Non-Compliant'!C156</f>
        <v>Do you employ host-based intrusion detection?</v>
      </c>
      <c r="C200" s="3"/>
      <c r="D200" s="200" t="str">
        <f>'High Risk Non-Compliant'!D156</f>
        <v/>
      </c>
      <c r="E200" s="2"/>
      <c r="F200" s="3"/>
      <c r="G200" s="111" t="str">
        <f>VLOOKUP(A200,'High Risk Non-Compliant'!B:K,$H$48,FALSE)</f>
        <v>#N/A</v>
      </c>
      <c r="H200" s="111" t="str">
        <f>VLOOKUP(G200,'Crosswalk Detail'!A:B,2,FALSE)</f>
        <v>#N/A</v>
      </c>
      <c r="I200" s="32"/>
      <c r="J200" s="32"/>
      <c r="K200" s="32"/>
      <c r="L200" s="32"/>
      <c r="M200" s="32"/>
      <c r="N200" s="32"/>
      <c r="O200" s="32"/>
      <c r="P200" s="32"/>
      <c r="Q200" s="32"/>
      <c r="R200" s="32"/>
      <c r="S200" s="32"/>
      <c r="T200" s="32"/>
      <c r="U200" s="32"/>
      <c r="V200" s="32"/>
      <c r="W200" s="32"/>
      <c r="X200" s="32"/>
      <c r="Y200" s="32"/>
      <c r="Z200" s="32"/>
    </row>
    <row r="201" ht="144.0" customHeight="1">
      <c r="A201" s="198" t="str">
        <f>'High Risk Non-Compliant'!B157</f>
        <v>FIDP-08</v>
      </c>
      <c r="B201" s="199" t="str">
        <f>'High Risk Non-Compliant'!C157</f>
        <v>Do you employ host-based intrusion prevention?</v>
      </c>
      <c r="C201" s="3"/>
      <c r="D201" s="200" t="str">
        <f>'High Risk Non-Compliant'!D157</f>
        <v/>
      </c>
      <c r="E201" s="2"/>
      <c r="F201" s="3"/>
      <c r="G201" s="111" t="str">
        <f>VLOOKUP(A201,'High Risk Non-Compliant'!B:K,$H$48,FALSE)</f>
        <v>#N/A</v>
      </c>
      <c r="H201" s="111" t="str">
        <f>VLOOKUP(G201,'Crosswalk Detail'!A:B,2,FALSE)</f>
        <v>#N/A</v>
      </c>
      <c r="I201" s="32"/>
      <c r="J201" s="32"/>
      <c r="K201" s="32"/>
      <c r="L201" s="32"/>
      <c r="M201" s="32"/>
      <c r="N201" s="32"/>
      <c r="O201" s="32"/>
      <c r="P201" s="32"/>
      <c r="Q201" s="32"/>
      <c r="R201" s="32"/>
      <c r="S201" s="32"/>
      <c r="T201" s="32"/>
      <c r="U201" s="32"/>
      <c r="V201" s="32"/>
      <c r="W201" s="32"/>
      <c r="X201" s="32"/>
      <c r="Y201" s="32"/>
      <c r="Z201" s="32"/>
    </row>
    <row r="202" ht="144.0" customHeight="1">
      <c r="A202" s="198" t="str">
        <f>'High Risk Non-Compliant'!B158</f>
        <v>FIDP-09</v>
      </c>
      <c r="B202" s="199" t="str">
        <f>'High Risk Non-Compliant'!C158</f>
        <v>Are you employing any next-generation persistent threat (NGPT) monitoring?</v>
      </c>
      <c r="C202" s="3"/>
      <c r="D202" s="200" t="str">
        <f>'High Risk Non-Compliant'!D158</f>
        <v/>
      </c>
      <c r="E202" s="2"/>
      <c r="F202" s="3"/>
      <c r="G202" s="111" t="str">
        <f>VLOOKUP(A202,'High Risk Non-Compliant'!B:K,$H$48,FALSE)</f>
        <v>#N/A</v>
      </c>
      <c r="H202" s="111" t="str">
        <f>VLOOKUP(G202,'Crosswalk Detail'!A:B,2,FALSE)</f>
        <v>#N/A</v>
      </c>
      <c r="I202" s="32"/>
      <c r="J202" s="32"/>
      <c r="K202" s="32"/>
      <c r="L202" s="32"/>
      <c r="M202" s="32"/>
      <c r="N202" s="32"/>
      <c r="O202" s="32"/>
      <c r="P202" s="32"/>
      <c r="Q202" s="32"/>
      <c r="R202" s="32"/>
      <c r="S202" s="32"/>
      <c r="T202" s="32"/>
      <c r="U202" s="32"/>
      <c r="V202" s="32"/>
      <c r="W202" s="32"/>
      <c r="X202" s="32"/>
      <c r="Y202" s="32"/>
      <c r="Z202" s="32"/>
    </row>
    <row r="203" ht="144.0" customHeight="1">
      <c r="A203" s="198" t="str">
        <f>'High Risk Non-Compliant'!B159</f>
        <v>FIDP-10</v>
      </c>
      <c r="B203" s="199" t="str">
        <f>'High Risk Non-Compliant'!C159</f>
        <v>Do you monitor for intrusions on a 24x7x365 basis?</v>
      </c>
      <c r="C203" s="3"/>
      <c r="D203" s="200" t="str">
        <f>'High Risk Non-Compliant'!D159</f>
        <v/>
      </c>
      <c r="E203" s="2"/>
      <c r="F203" s="3"/>
      <c r="G203" s="111" t="str">
        <f>VLOOKUP(A203,'High Risk Non-Compliant'!B:K,$H$48,FALSE)</f>
        <v>#N/A</v>
      </c>
      <c r="H203" s="111" t="str">
        <f>VLOOKUP(G203,'Crosswalk Detail'!A:B,2,FALSE)</f>
        <v>#N/A</v>
      </c>
      <c r="I203" s="32"/>
      <c r="J203" s="32"/>
      <c r="K203" s="32"/>
      <c r="L203" s="32"/>
      <c r="M203" s="32"/>
      <c r="N203" s="32"/>
      <c r="O203" s="32"/>
      <c r="P203" s="32"/>
      <c r="Q203" s="32"/>
      <c r="R203" s="32"/>
      <c r="S203" s="32"/>
      <c r="T203" s="32"/>
      <c r="U203" s="32"/>
      <c r="V203" s="32"/>
      <c r="W203" s="32"/>
      <c r="X203" s="32"/>
      <c r="Y203" s="32"/>
      <c r="Z203" s="32"/>
    </row>
    <row r="204" ht="144.0" customHeight="1">
      <c r="A204" s="198" t="str">
        <f>'High Risk Non-Compliant'!B160</f>
        <v>FIDP-11</v>
      </c>
      <c r="B204" s="199" t="str">
        <f>'High Risk Non-Compliant'!C160</f>
        <v>Is intrusion monitoring performed internally or by a third-party service?</v>
      </c>
      <c r="C204" s="3"/>
      <c r="D204" s="200" t="str">
        <f>'High Risk Non-Compliant'!D160</f>
        <v/>
      </c>
      <c r="E204" s="2"/>
      <c r="F204" s="3"/>
      <c r="G204" s="111" t="str">
        <f>VLOOKUP(A204,'High Risk Non-Compliant'!B:K,$H$48,FALSE)</f>
        <v>#N/A</v>
      </c>
      <c r="H204" s="111" t="str">
        <f>VLOOKUP(G204,'Crosswalk Detail'!A:B,2,FALSE)</f>
        <v>#N/A</v>
      </c>
      <c r="I204" s="32"/>
      <c r="J204" s="32"/>
      <c r="K204" s="32"/>
      <c r="L204" s="32"/>
      <c r="M204" s="32"/>
      <c r="N204" s="32"/>
      <c r="O204" s="32"/>
      <c r="P204" s="32"/>
      <c r="Q204" s="32"/>
      <c r="R204" s="32"/>
      <c r="S204" s="32"/>
      <c r="T204" s="32"/>
      <c r="U204" s="32"/>
      <c r="V204" s="32"/>
      <c r="W204" s="32"/>
      <c r="X204" s="32"/>
      <c r="Y204" s="32"/>
      <c r="Z204" s="32"/>
    </row>
    <row r="205" ht="144.0" customHeight="1">
      <c r="A205" s="198" t="str">
        <f>'High Risk Non-Compliant'!B161</f>
        <v>FIDP-12</v>
      </c>
      <c r="B205" s="199" t="str">
        <f>'High Risk Non-Compliant'!C161</f>
        <v>Are audit logs available for all changes to the network, firewall, IDS, and IPS systems?</v>
      </c>
      <c r="C205" s="3"/>
      <c r="D205" s="200" t="str">
        <f>'High Risk Non-Compliant'!D161</f>
        <v>All network changes, IP Address or firewall configuration changes are maintained in audit report</v>
      </c>
      <c r="E205" s="2"/>
      <c r="F205" s="3"/>
      <c r="G205" s="111" t="str">
        <f>VLOOKUP(A205,'High Risk Non-Compliant'!B:K,$H$48,FALSE)</f>
        <v>#N/A</v>
      </c>
      <c r="H205" s="111" t="str">
        <f>VLOOKUP(G205,'Crosswalk Detail'!A:B,2,FALSE)</f>
        <v>#N/A</v>
      </c>
      <c r="I205" s="32"/>
      <c r="J205" s="32"/>
      <c r="K205" s="32"/>
      <c r="L205" s="32"/>
      <c r="M205" s="32"/>
      <c r="N205" s="32"/>
      <c r="O205" s="32"/>
      <c r="P205" s="32"/>
      <c r="Q205" s="32"/>
      <c r="R205" s="32"/>
      <c r="S205" s="32"/>
      <c r="T205" s="32"/>
      <c r="U205" s="32"/>
      <c r="V205" s="32"/>
      <c r="W205" s="32"/>
      <c r="X205" s="32"/>
      <c r="Y205" s="32"/>
      <c r="Z205" s="32"/>
    </row>
    <row r="206" ht="144.0" customHeight="1">
      <c r="A206" s="198" t="str">
        <f>'High Risk Non-Compliant'!B162</f>
        <v>MAPP-01</v>
      </c>
      <c r="B206" s="199" t="str">
        <f>'High Risk Non-Compliant'!C162</f>
        <v>On which mobile operating systems is your software or service supported?</v>
      </c>
      <c r="C206" s="3"/>
      <c r="D206" s="200" t="str">
        <f>'High Risk Non-Compliant'!D162</f>
        <v/>
      </c>
      <c r="E206" s="2"/>
      <c r="F206" s="3"/>
      <c r="G206" s="111" t="str">
        <f>VLOOKUP(A206,'High Risk Non-Compliant'!B:K,$H$48,FALSE)</f>
        <v>#N/A</v>
      </c>
      <c r="H206" s="111" t="str">
        <f>VLOOKUP(G206,'Crosswalk Detail'!A:B,2,FALSE)</f>
        <v>#N/A</v>
      </c>
      <c r="I206" s="32"/>
      <c r="J206" s="32"/>
      <c r="K206" s="32"/>
      <c r="L206" s="32"/>
      <c r="M206" s="32"/>
      <c r="N206" s="32"/>
      <c r="O206" s="32"/>
      <c r="P206" s="32"/>
      <c r="Q206" s="32"/>
      <c r="R206" s="32"/>
      <c r="S206" s="32"/>
      <c r="T206" s="32"/>
      <c r="U206" s="32"/>
      <c r="V206" s="32"/>
      <c r="W206" s="32"/>
      <c r="X206" s="32"/>
      <c r="Y206" s="32"/>
      <c r="Z206" s="32"/>
    </row>
    <row r="207" ht="144.0" customHeight="1">
      <c r="A207" s="198" t="str">
        <f>'High Risk Non-Compliant'!B163</f>
        <v>MAPP-02</v>
      </c>
      <c r="B207" s="199" t="str">
        <f>'High Risk Non-Compliant'!C163</f>
        <v>Describe or provide a reference to the application's architecture and functionality.</v>
      </c>
      <c r="C207" s="3"/>
      <c r="D207" s="200" t="str">
        <f>'High Risk Non-Compliant'!D163</f>
        <v/>
      </c>
      <c r="E207" s="2"/>
      <c r="F207" s="3"/>
      <c r="G207" s="111" t="str">
        <f>VLOOKUP(A207,'High Risk Non-Compliant'!B:K,$H$48,FALSE)</f>
        <v>#N/A</v>
      </c>
      <c r="H207" s="111" t="str">
        <f>VLOOKUP(G207,'Crosswalk Detail'!A:B,2,FALSE)</f>
        <v>#N/A</v>
      </c>
      <c r="I207" s="32"/>
      <c r="J207" s="32"/>
      <c r="K207" s="32"/>
      <c r="L207" s="32"/>
      <c r="M207" s="32"/>
      <c r="N207" s="32"/>
      <c r="O207" s="32"/>
      <c r="P207" s="32"/>
      <c r="Q207" s="32"/>
      <c r="R207" s="32"/>
      <c r="S207" s="32"/>
      <c r="T207" s="32"/>
      <c r="U207" s="32"/>
      <c r="V207" s="32"/>
      <c r="W207" s="32"/>
      <c r="X207" s="32"/>
      <c r="Y207" s="32"/>
      <c r="Z207" s="32"/>
    </row>
    <row r="208" ht="144.0" customHeight="1">
      <c r="A208" s="198" t="str">
        <f>'High Risk Non-Compliant'!B164</f>
        <v>MAPP-03</v>
      </c>
      <c r="B208" s="199" t="str">
        <f>'High Risk Non-Compliant'!C164</f>
        <v>Is the application available from a trusted source (e.g., iTunes App Store, Android Market, BB World)?</v>
      </c>
      <c r="C208" s="3"/>
      <c r="D208" s="200" t="str">
        <f>'High Risk Non-Compliant'!D164</f>
        <v/>
      </c>
      <c r="E208" s="2"/>
      <c r="F208" s="3"/>
      <c r="G208" s="111" t="str">
        <f>VLOOKUP(A208,'High Risk Non-Compliant'!B:K,$H$48,FALSE)</f>
        <v>#N/A</v>
      </c>
      <c r="H208" s="111" t="str">
        <f>VLOOKUP(G208,'Crosswalk Detail'!A:B,2,FALSE)</f>
        <v>#N/A</v>
      </c>
      <c r="I208" s="32"/>
      <c r="J208" s="32"/>
      <c r="K208" s="32"/>
      <c r="L208" s="32"/>
      <c r="M208" s="32"/>
      <c r="N208" s="32"/>
      <c r="O208" s="32"/>
      <c r="P208" s="32"/>
      <c r="Q208" s="32"/>
      <c r="R208" s="32"/>
      <c r="S208" s="32"/>
      <c r="T208" s="32"/>
      <c r="U208" s="32"/>
      <c r="V208" s="32"/>
      <c r="W208" s="32"/>
      <c r="X208" s="32"/>
      <c r="Y208" s="32"/>
      <c r="Z208" s="32"/>
    </row>
    <row r="209" ht="144.0" customHeight="1">
      <c r="A209" s="198" t="str">
        <f>'High Risk Non-Compliant'!B165</f>
        <v>MAPP-04</v>
      </c>
      <c r="B209" s="199" t="str">
        <f>'High Risk Non-Compliant'!C165</f>
        <v>Does the application store, process, or transmit critical data?</v>
      </c>
      <c r="C209" s="3"/>
      <c r="D209" s="200" t="str">
        <f>'High Risk Non-Compliant'!D165</f>
        <v/>
      </c>
      <c r="E209" s="2"/>
      <c r="F209" s="3"/>
      <c r="G209" s="111" t="str">
        <f>VLOOKUP(A209,'High Risk Non-Compliant'!B:K,$H$48,FALSE)</f>
        <v>#N/A</v>
      </c>
      <c r="H209" s="111" t="str">
        <f>VLOOKUP(G209,'Crosswalk Detail'!A:B,2,FALSE)</f>
        <v>#N/A</v>
      </c>
      <c r="I209" s="32"/>
      <c r="J209" s="32"/>
      <c r="K209" s="32"/>
      <c r="L209" s="32"/>
      <c r="M209" s="32"/>
      <c r="N209" s="32"/>
      <c r="O209" s="32"/>
      <c r="P209" s="32"/>
      <c r="Q209" s="32"/>
      <c r="R209" s="32"/>
      <c r="S209" s="32"/>
      <c r="T209" s="32"/>
      <c r="U209" s="32"/>
      <c r="V209" s="32"/>
      <c r="W209" s="32"/>
      <c r="X209" s="32"/>
      <c r="Y209" s="32"/>
      <c r="Z209" s="32"/>
    </row>
    <row r="210" ht="144.0" customHeight="1">
      <c r="A210" s="198" t="str">
        <f>'High Risk Non-Compliant'!B166</f>
        <v>MAPP-05</v>
      </c>
      <c r="B210" s="199" t="str">
        <f>'High Risk Non-Compliant'!C166</f>
        <v>Is Institution's data encrypted in transport?</v>
      </c>
      <c r="C210" s="3"/>
      <c r="D210" s="200" t="str">
        <f>'High Risk Non-Compliant'!D166</f>
        <v/>
      </c>
      <c r="E210" s="2"/>
      <c r="F210" s="3"/>
      <c r="G210" s="111" t="str">
        <f>VLOOKUP(A210,'High Risk Non-Compliant'!B:K,$H$48,FALSE)</f>
        <v>#N/A</v>
      </c>
      <c r="H210" s="111" t="str">
        <f>VLOOKUP(G210,'Crosswalk Detail'!A:B,2,FALSE)</f>
        <v>#N/A</v>
      </c>
      <c r="I210" s="32"/>
      <c r="J210" s="32"/>
      <c r="K210" s="32"/>
      <c r="L210" s="32"/>
      <c r="M210" s="32"/>
      <c r="N210" s="32"/>
      <c r="O210" s="32"/>
      <c r="P210" s="32"/>
      <c r="Q210" s="32"/>
      <c r="R210" s="32"/>
      <c r="S210" s="32"/>
      <c r="T210" s="32"/>
      <c r="U210" s="32"/>
      <c r="V210" s="32"/>
      <c r="W210" s="32"/>
      <c r="X210" s="32"/>
      <c r="Y210" s="32"/>
      <c r="Z210" s="32"/>
    </row>
    <row r="211" ht="144.0" customHeight="1">
      <c r="A211" s="198" t="str">
        <f>'High Risk Non-Compliant'!B167</f>
        <v>MAPP-06</v>
      </c>
      <c r="B211" s="199" t="str">
        <f>'High Risk Non-Compliant'!C167</f>
        <v>Is Institution's data encrypted in storage? (e.g. disk encryption, at-rest)</v>
      </c>
      <c r="C211" s="3"/>
      <c r="D211" s="200" t="str">
        <f>'High Risk Non-Compliant'!D167</f>
        <v/>
      </c>
      <c r="E211" s="2"/>
      <c r="F211" s="3"/>
      <c r="G211" s="111" t="str">
        <f>VLOOKUP(A211,'High Risk Non-Compliant'!B:K,$H$48,FALSE)</f>
        <v>#N/A</v>
      </c>
      <c r="H211" s="111" t="str">
        <f>VLOOKUP(G211,'Crosswalk Detail'!A:B,2,FALSE)</f>
        <v>#N/A</v>
      </c>
      <c r="I211" s="32"/>
      <c r="J211" s="32"/>
      <c r="K211" s="32"/>
      <c r="L211" s="32"/>
      <c r="M211" s="32"/>
      <c r="N211" s="32"/>
      <c r="O211" s="32"/>
      <c r="P211" s="32"/>
      <c r="Q211" s="32"/>
      <c r="R211" s="32"/>
      <c r="S211" s="32"/>
      <c r="T211" s="32"/>
      <c r="U211" s="32"/>
      <c r="V211" s="32"/>
      <c r="W211" s="32"/>
      <c r="X211" s="32"/>
      <c r="Y211" s="32"/>
      <c r="Z211" s="32"/>
    </row>
    <row r="212" ht="144.0" customHeight="1">
      <c r="A212" s="198" t="str">
        <f>'High Risk Non-Compliant'!B168</f>
        <v>MAPP-07</v>
      </c>
      <c r="B212" s="199" t="str">
        <f>'High Risk Non-Compliant'!C168</f>
        <v>Does the mobile application support Kerberos, CAS, or Active Directory authentication?</v>
      </c>
      <c r="C212" s="3"/>
      <c r="D212" s="200" t="str">
        <f>'High Risk Non-Compliant'!D168</f>
        <v/>
      </c>
      <c r="E212" s="2"/>
      <c r="F212" s="3"/>
      <c r="G212" s="111" t="str">
        <f>VLOOKUP(A212,'High Risk Non-Compliant'!B:K,$H$48,FALSE)</f>
        <v>#N/A</v>
      </c>
      <c r="H212" s="111" t="str">
        <f>VLOOKUP(G212,'Crosswalk Detail'!A:B,2,FALSE)</f>
        <v>#N/A</v>
      </c>
      <c r="I212" s="32"/>
      <c r="J212" s="32"/>
      <c r="K212" s="32"/>
      <c r="L212" s="32"/>
      <c r="M212" s="32"/>
      <c r="N212" s="32"/>
      <c r="O212" s="32"/>
      <c r="P212" s="32"/>
      <c r="Q212" s="32"/>
      <c r="R212" s="32"/>
      <c r="S212" s="32"/>
      <c r="T212" s="32"/>
      <c r="U212" s="32"/>
      <c r="V212" s="32"/>
      <c r="W212" s="32"/>
      <c r="X212" s="32"/>
      <c r="Y212" s="32"/>
      <c r="Z212" s="32"/>
    </row>
    <row r="213" ht="144.0" customHeight="1">
      <c r="A213" s="198" t="str">
        <f>'High Risk Non-Compliant'!B169</f>
        <v>MAPP-08</v>
      </c>
      <c r="B213" s="199" t="str">
        <f>'High Risk Non-Compliant'!C169</f>
        <v>Will any of these systems be implemented on systems hosting the Institution's data?</v>
      </c>
      <c r="C213" s="3"/>
      <c r="D213" s="200" t="str">
        <f>'High Risk Non-Compliant'!D169</f>
        <v/>
      </c>
      <c r="E213" s="2"/>
      <c r="F213" s="3"/>
      <c r="G213" s="111" t="str">
        <f>VLOOKUP(A213,'High Risk Non-Compliant'!B:K,$H$48,FALSE)</f>
        <v>#N/A</v>
      </c>
      <c r="H213" s="111" t="str">
        <f>VLOOKUP(G213,'Crosswalk Detail'!A:B,2,FALSE)</f>
        <v>#N/A</v>
      </c>
      <c r="I213" s="32"/>
      <c r="J213" s="32"/>
      <c r="K213" s="32"/>
      <c r="L213" s="32"/>
      <c r="M213" s="32"/>
      <c r="N213" s="32"/>
      <c r="O213" s="32"/>
      <c r="P213" s="32"/>
      <c r="Q213" s="32"/>
      <c r="R213" s="32"/>
      <c r="S213" s="32"/>
      <c r="T213" s="32"/>
      <c r="U213" s="32"/>
      <c r="V213" s="32"/>
      <c r="W213" s="32"/>
      <c r="X213" s="32"/>
      <c r="Y213" s="32"/>
      <c r="Z213" s="32"/>
    </row>
    <row r="214" ht="144.0" customHeight="1">
      <c r="A214" s="198" t="str">
        <f>'High Risk Non-Compliant'!B170</f>
        <v>MAPP-09</v>
      </c>
      <c r="B214" s="199" t="str">
        <f>'High Risk Non-Compliant'!C170</f>
        <v>Does the application adhere to secure coding practices (e.g. OWASP, etc.)?</v>
      </c>
      <c r="C214" s="3"/>
      <c r="D214" s="200" t="str">
        <f>'High Risk Non-Compliant'!D170</f>
        <v/>
      </c>
      <c r="E214" s="2"/>
      <c r="F214" s="3"/>
      <c r="G214" s="111" t="str">
        <f>VLOOKUP(A214,'High Risk Non-Compliant'!B:K,$H$48,FALSE)</f>
        <v>#N/A</v>
      </c>
      <c r="H214" s="111" t="str">
        <f>VLOOKUP(G214,'Crosswalk Detail'!A:B,2,FALSE)</f>
        <v>#N/A</v>
      </c>
      <c r="I214" s="32"/>
      <c r="J214" s="32"/>
      <c r="K214" s="32"/>
      <c r="L214" s="32"/>
      <c r="M214" s="32"/>
      <c r="N214" s="32"/>
      <c r="O214" s="32"/>
      <c r="P214" s="32"/>
      <c r="Q214" s="32"/>
      <c r="R214" s="32"/>
      <c r="S214" s="32"/>
      <c r="T214" s="32"/>
      <c r="U214" s="32"/>
      <c r="V214" s="32"/>
      <c r="W214" s="32"/>
      <c r="X214" s="32"/>
      <c r="Y214" s="32"/>
      <c r="Z214" s="32"/>
    </row>
    <row r="215" ht="144.0" customHeight="1">
      <c r="A215" s="198" t="str">
        <f>'High Risk Non-Compliant'!B171</f>
        <v>MAPP-10</v>
      </c>
      <c r="B215" s="199" t="str">
        <f>'High Risk Non-Compliant'!C171</f>
        <v>Has the application been tested for vulnerabilities by a third party?</v>
      </c>
      <c r="C215" s="3"/>
      <c r="D215" s="200" t="str">
        <f>'High Risk Non-Compliant'!D171</f>
        <v/>
      </c>
      <c r="E215" s="2"/>
      <c r="F215" s="3"/>
      <c r="G215" s="111" t="str">
        <f>VLOOKUP(A215,'High Risk Non-Compliant'!B:K,$H$48,FALSE)</f>
        <v>#N/A</v>
      </c>
      <c r="H215" s="111" t="str">
        <f>VLOOKUP(G215,'Crosswalk Detail'!A:B,2,FALSE)</f>
        <v>#N/A</v>
      </c>
      <c r="I215" s="32"/>
      <c r="J215" s="32"/>
      <c r="K215" s="32"/>
      <c r="L215" s="32"/>
      <c r="M215" s="32"/>
      <c r="N215" s="32"/>
      <c r="O215" s="32"/>
      <c r="P215" s="32"/>
      <c r="Q215" s="32"/>
      <c r="R215" s="32"/>
      <c r="S215" s="32"/>
      <c r="T215" s="32"/>
      <c r="U215" s="32"/>
      <c r="V215" s="32"/>
      <c r="W215" s="32"/>
      <c r="X215" s="32"/>
      <c r="Y215" s="32"/>
      <c r="Z215" s="32"/>
    </row>
    <row r="216" ht="144.0" customHeight="1">
      <c r="A216" s="198" t="str">
        <f>'High Risk Non-Compliant'!B172</f>
        <v>MAPP-11</v>
      </c>
      <c r="B216" s="199" t="str">
        <f>'High Risk Non-Compliant'!C172</f>
        <v>State the party that performed the vulnerability test and the date it was conducted?</v>
      </c>
      <c r="C216" s="3"/>
      <c r="D216" s="200" t="str">
        <f>'High Risk Non-Compliant'!D172</f>
        <v/>
      </c>
      <c r="E216" s="2"/>
      <c r="F216" s="3"/>
      <c r="G216" s="111" t="str">
        <f>VLOOKUP(A216,'High Risk Non-Compliant'!B:K,$H$48,FALSE)</f>
        <v>#N/A</v>
      </c>
      <c r="H216" s="111" t="str">
        <f>VLOOKUP(G216,'Crosswalk Detail'!A:B,2,FALSE)</f>
        <v>#N/A</v>
      </c>
      <c r="I216" s="32"/>
      <c r="J216" s="32"/>
      <c r="K216" s="32"/>
      <c r="L216" s="32"/>
      <c r="M216" s="32"/>
      <c r="N216" s="32"/>
      <c r="O216" s="32"/>
      <c r="P216" s="32"/>
      <c r="Q216" s="32"/>
      <c r="R216" s="32"/>
      <c r="S216" s="32"/>
      <c r="T216" s="32"/>
      <c r="U216" s="32"/>
      <c r="V216" s="32"/>
      <c r="W216" s="32"/>
      <c r="X216" s="32"/>
      <c r="Y216" s="32"/>
      <c r="Z216" s="32"/>
    </row>
    <row r="217" ht="144.0" customHeight="1">
      <c r="A217" s="218" t="str">
        <f>'High Risk Non-Compliant'!B173</f>
        <v>PHYS-01</v>
      </c>
      <c r="B217" s="200" t="str">
        <f>'High Risk Non-Compliant'!C173</f>
        <v>Does your organization have physical security controls and policies in place?</v>
      </c>
      <c r="C217" s="3"/>
      <c r="D217" s="200" t="str">
        <f>'High Risk Non-Compliant'!D173</f>
        <v>fingerprint scanner, security cameras</v>
      </c>
      <c r="E217" s="2"/>
      <c r="F217" s="3"/>
      <c r="G217" s="111" t="str">
        <f>VLOOKUP(A217,'High Risk Non-Compliant'!B:K,$H$48,FALSE)</f>
        <v>#N/A</v>
      </c>
      <c r="H217" s="111" t="str">
        <f>VLOOKUP(G217,'Crosswalk Detail'!A:B,2,FALSE)</f>
        <v>#N/A</v>
      </c>
      <c r="I217" s="32"/>
      <c r="J217" s="32"/>
      <c r="K217" s="32"/>
      <c r="L217" s="32"/>
      <c r="M217" s="32"/>
      <c r="N217" s="32"/>
      <c r="O217" s="32"/>
      <c r="P217" s="32"/>
      <c r="Q217" s="32"/>
      <c r="R217" s="32"/>
      <c r="S217" s="32"/>
      <c r="T217" s="32"/>
      <c r="U217" s="32"/>
      <c r="V217" s="32"/>
      <c r="W217" s="32"/>
      <c r="X217" s="32"/>
      <c r="Y217" s="32"/>
      <c r="Z217" s="32"/>
    </row>
    <row r="218" ht="144.0" customHeight="1">
      <c r="A218" s="218" t="str">
        <f>'High Risk Non-Compliant'!B174</f>
        <v>PHYS-02</v>
      </c>
      <c r="B218" s="200" t="str">
        <f>'High Risk Non-Compliant'!C174</f>
        <v>Are employees allowed to take home Institution's data in any form?</v>
      </c>
      <c r="C218" s="3"/>
      <c r="D218" s="200" t="str">
        <f>'High Risk Non-Compliant'!D174</f>
        <v/>
      </c>
      <c r="E218" s="2"/>
      <c r="F218" s="3"/>
      <c r="G218" s="111" t="str">
        <f>VLOOKUP(A218,'High Risk Non-Compliant'!B:K,$H$48,FALSE)</f>
        <v>#N/A</v>
      </c>
      <c r="H218" s="111" t="str">
        <f>VLOOKUP(G218,'Crosswalk Detail'!A:B,2,FALSE)</f>
        <v>#N/A</v>
      </c>
      <c r="I218" s="32"/>
      <c r="J218" s="32"/>
      <c r="K218" s="32"/>
      <c r="L218" s="32"/>
      <c r="M218" s="32"/>
      <c r="N218" s="32"/>
      <c r="O218" s="32"/>
      <c r="P218" s="32"/>
      <c r="Q218" s="32"/>
      <c r="R218" s="32"/>
      <c r="S218" s="32"/>
      <c r="T218" s="32"/>
      <c r="U218" s="32"/>
      <c r="V218" s="32"/>
      <c r="W218" s="32"/>
      <c r="X218" s="32"/>
      <c r="Y218" s="32"/>
      <c r="Z218" s="32"/>
    </row>
    <row r="219" ht="144.0" customHeight="1">
      <c r="A219" s="218" t="str">
        <f>'High Risk Non-Compliant'!B175</f>
        <v>PHYS-03</v>
      </c>
      <c r="B219" s="200" t="str">
        <f>'High Risk Non-Compliant'!C175</f>
        <v>Are video monitoring feeds retained?</v>
      </c>
      <c r="C219" s="3"/>
      <c r="D219" s="213" t="str">
        <f>'High Risk Non-Compliant'!D175</f>
        <v>google.com/security</v>
      </c>
      <c r="E219" s="2"/>
      <c r="F219" s="3"/>
      <c r="G219" s="111" t="str">
        <f>VLOOKUP(A219,'High Risk Non-Compliant'!B:K,$H$48,FALSE)</f>
        <v>#N/A</v>
      </c>
      <c r="H219" s="111" t="str">
        <f>VLOOKUP(G219,'Crosswalk Detail'!A:B,2,FALSE)</f>
        <v>#N/A</v>
      </c>
      <c r="I219" s="32"/>
      <c r="J219" s="32"/>
      <c r="K219" s="32"/>
      <c r="L219" s="32"/>
      <c r="M219" s="32"/>
      <c r="N219" s="32"/>
      <c r="O219" s="32"/>
      <c r="P219" s="32"/>
      <c r="Q219" s="32"/>
      <c r="R219" s="32"/>
      <c r="S219" s="32"/>
      <c r="T219" s="32"/>
      <c r="U219" s="32"/>
      <c r="V219" s="32"/>
      <c r="W219" s="32"/>
      <c r="X219" s="32"/>
      <c r="Y219" s="32"/>
      <c r="Z219" s="32"/>
    </row>
    <row r="220" ht="144.0" customHeight="1">
      <c r="A220" s="218" t="str">
        <f>'High Risk Non-Compliant'!B176</f>
        <v>PHYS-04</v>
      </c>
      <c r="B220" s="200" t="str">
        <f>'High Risk Non-Compliant'!C176</f>
        <v>Are video feeds monitored by datacenter staff?</v>
      </c>
      <c r="C220" s="3"/>
      <c r="D220" s="213" t="str">
        <f>'High Risk Non-Compliant'!D176</f>
        <v>google.com/security</v>
      </c>
      <c r="E220" s="2"/>
      <c r="F220" s="3"/>
      <c r="G220" s="111" t="str">
        <f>VLOOKUP(A220,'High Risk Non-Compliant'!B:K,$H$48,FALSE)</f>
        <v>#N/A</v>
      </c>
      <c r="H220" s="111" t="str">
        <f>VLOOKUP(G220,'Crosswalk Detail'!A:B,2,FALSE)</f>
        <v>#N/A</v>
      </c>
      <c r="I220" s="32"/>
      <c r="J220" s="32"/>
      <c r="K220" s="32"/>
      <c r="L220" s="32"/>
      <c r="M220" s="32"/>
      <c r="N220" s="32"/>
      <c r="O220" s="32"/>
      <c r="P220" s="32"/>
      <c r="Q220" s="32"/>
      <c r="R220" s="32"/>
      <c r="S220" s="32"/>
      <c r="T220" s="32"/>
      <c r="U220" s="32"/>
      <c r="V220" s="32"/>
      <c r="W220" s="32"/>
      <c r="X220" s="32"/>
      <c r="Y220" s="32"/>
      <c r="Z220" s="32"/>
    </row>
    <row r="221" ht="144.0" customHeight="1">
      <c r="A221" s="218" t="str">
        <f>'High Risk Non-Compliant'!B177</f>
        <v>PHYS-05</v>
      </c>
      <c r="B221" s="200" t="str">
        <f>'High Risk Non-Compliant'!C177</f>
        <v>Are individuals required to sign in/out for installation and removal of equipment?</v>
      </c>
      <c r="C221" s="3"/>
      <c r="D221" s="200" t="str">
        <f>'High Risk Non-Compliant'!D177</f>
        <v/>
      </c>
      <c r="E221" s="2"/>
      <c r="F221" s="3"/>
      <c r="G221" s="111" t="str">
        <f>VLOOKUP(A221,'High Risk Non-Compliant'!B:K,$H$48,FALSE)</f>
        <v>#N/A</v>
      </c>
      <c r="H221" s="111" t="str">
        <f>VLOOKUP(G221,'Crosswalk Detail'!A:B,2,FALSE)</f>
        <v>#N/A</v>
      </c>
      <c r="I221" s="32"/>
      <c r="J221" s="32"/>
      <c r="K221" s="32"/>
      <c r="L221" s="32"/>
      <c r="M221" s="32"/>
      <c r="N221" s="32"/>
      <c r="O221" s="32"/>
      <c r="P221" s="32"/>
      <c r="Q221" s="32"/>
      <c r="R221" s="32"/>
      <c r="S221" s="32"/>
      <c r="T221" s="32"/>
      <c r="U221" s="32"/>
      <c r="V221" s="32"/>
      <c r="W221" s="32"/>
      <c r="X221" s="32"/>
      <c r="Y221" s="32"/>
      <c r="Z221" s="32"/>
    </row>
    <row r="222" ht="144.0" customHeight="1">
      <c r="A222" s="218" t="str">
        <f>'High Risk Non-Compliant'!B178</f>
        <v>PPPR-01</v>
      </c>
      <c r="B222" s="200" t="str">
        <f>'High Risk Non-Compliant'!C178</f>
        <v>Can you share the organization chart, mission statement, and policies for your information security unit?</v>
      </c>
      <c r="C222" s="3"/>
      <c r="D222" s="200" t="str">
        <f>'High Risk Non-Compliant'!D178</f>
        <v>We need an NDA to do so</v>
      </c>
      <c r="E222" s="2"/>
      <c r="F222" s="3"/>
      <c r="G222" s="111" t="str">
        <f>VLOOKUP(A222,'High Risk Non-Compliant'!B:K,$H$48,FALSE)</f>
        <v>#N/A</v>
      </c>
      <c r="H222" s="111" t="str">
        <f>VLOOKUP(G222,'Crosswalk Detail'!A:B,2,FALSE)</f>
        <v>#N/A</v>
      </c>
      <c r="I222" s="32"/>
      <c r="J222" s="32"/>
      <c r="K222" s="32"/>
      <c r="L222" s="32"/>
      <c r="M222" s="32"/>
      <c r="N222" s="32"/>
      <c r="O222" s="32"/>
      <c r="P222" s="32"/>
      <c r="Q222" s="32"/>
      <c r="R222" s="32"/>
      <c r="S222" s="32"/>
      <c r="T222" s="32"/>
      <c r="U222" s="32"/>
      <c r="V222" s="32"/>
      <c r="W222" s="32"/>
      <c r="X222" s="32"/>
      <c r="Y222" s="32"/>
      <c r="Z222" s="32"/>
    </row>
    <row r="223" ht="144.0" customHeight="1">
      <c r="A223" s="218" t="str">
        <f>'High Risk Non-Compliant'!B179</f>
        <v>PPPR-02</v>
      </c>
      <c r="B223" s="200" t="str">
        <f>'High Risk Non-Compliant'!C179</f>
        <v>Do you have a documented patch management process?</v>
      </c>
      <c r="C223" s="3"/>
      <c r="D223" s="200" t="str">
        <f>'High Risk Non-Compliant'!D179</f>
        <v>Patches to software, depending on severity may be done at anytime; logs of all patches</v>
      </c>
      <c r="E223" s="2"/>
      <c r="F223" s="3"/>
      <c r="G223" s="111" t="str">
        <f>VLOOKUP(A223,'High Risk Non-Compliant'!B:K,$H$48,FALSE)</f>
        <v>#N/A</v>
      </c>
      <c r="H223" s="111" t="str">
        <f>VLOOKUP(G223,'Crosswalk Detail'!A:B,2,FALSE)</f>
        <v>#N/A</v>
      </c>
      <c r="I223" s="32"/>
      <c r="J223" s="32"/>
      <c r="K223" s="32"/>
      <c r="L223" s="32"/>
      <c r="M223" s="32"/>
      <c r="N223" s="32"/>
      <c r="O223" s="32"/>
      <c r="P223" s="32"/>
      <c r="Q223" s="32"/>
      <c r="R223" s="32"/>
      <c r="S223" s="32"/>
      <c r="T223" s="32"/>
      <c r="U223" s="32"/>
      <c r="V223" s="32"/>
      <c r="W223" s="32"/>
      <c r="X223" s="32"/>
      <c r="Y223" s="32"/>
      <c r="Z223" s="32"/>
    </row>
    <row r="224" ht="144.0" customHeight="1">
      <c r="A224" s="218" t="str">
        <f>'High Risk Non-Compliant'!B180</f>
        <v>PPPR-03</v>
      </c>
      <c r="B224" s="200" t="str">
        <f>'High Risk Non-Compliant'!C180</f>
        <v>Can you accommodate encryption requirements using open standards?</v>
      </c>
      <c r="C224" s="3"/>
      <c r="D224" s="200" t="str">
        <f>'High Risk Non-Compliant'!D180</f>
        <v/>
      </c>
      <c r="E224" s="2"/>
      <c r="F224" s="3"/>
      <c r="G224" s="111" t="str">
        <f>VLOOKUP(A224,'High Risk Non-Compliant'!B:K,$H$48,FALSE)</f>
        <v>#N/A</v>
      </c>
      <c r="H224" s="111" t="str">
        <f>VLOOKUP(G224,'Crosswalk Detail'!A:B,2,FALSE)</f>
        <v>#N/A</v>
      </c>
      <c r="I224" s="32"/>
      <c r="J224" s="32"/>
      <c r="K224" s="32"/>
      <c r="L224" s="32"/>
      <c r="M224" s="32"/>
      <c r="N224" s="32"/>
      <c r="O224" s="32"/>
      <c r="P224" s="32"/>
      <c r="Q224" s="32"/>
      <c r="R224" s="32"/>
      <c r="S224" s="32"/>
      <c r="T224" s="32"/>
      <c r="U224" s="32"/>
      <c r="V224" s="32"/>
      <c r="W224" s="32"/>
      <c r="X224" s="32"/>
      <c r="Y224" s="32"/>
      <c r="Z224" s="32"/>
    </row>
    <row r="225" ht="144.0" customHeight="1">
      <c r="A225" s="218" t="str">
        <f>'High Risk Non-Compliant'!B181</f>
        <v>PPPR-04</v>
      </c>
      <c r="B225" s="200" t="str">
        <f>'High Risk Non-Compliant'!C181</f>
        <v>Have your developers been trained in secure coding techniques?</v>
      </c>
      <c r="C225" s="3"/>
      <c r="D225" s="200" t="str">
        <f>'High Risk Non-Compliant'!D181</f>
        <v>Team is required to take a secure coding class each year.  Sans.org</v>
      </c>
      <c r="E225" s="2"/>
      <c r="F225" s="3"/>
      <c r="G225" s="111" t="str">
        <f>VLOOKUP(A225,'High Risk Non-Compliant'!B:K,$H$48,FALSE)</f>
        <v>#N/A</v>
      </c>
      <c r="H225" s="111" t="str">
        <f>VLOOKUP(G225,'Crosswalk Detail'!A:B,2,FALSE)</f>
        <v>#N/A</v>
      </c>
      <c r="I225" s="32"/>
      <c r="J225" s="32"/>
      <c r="K225" s="32"/>
      <c r="L225" s="32"/>
      <c r="M225" s="32"/>
      <c r="N225" s="32"/>
      <c r="O225" s="32"/>
      <c r="P225" s="32"/>
      <c r="Q225" s="32"/>
      <c r="R225" s="32"/>
      <c r="S225" s="32"/>
      <c r="T225" s="32"/>
      <c r="U225" s="32"/>
      <c r="V225" s="32"/>
      <c r="W225" s="32"/>
      <c r="X225" s="32"/>
      <c r="Y225" s="32"/>
      <c r="Z225" s="32"/>
    </row>
    <row r="226" ht="15.75" customHeight="1">
      <c r="A226" s="219" t="str">
        <f>'High Risk Non-Compliant'!B182</f>
        <v>PPPR-05</v>
      </c>
      <c r="B226" s="220" t="str">
        <f>'High Risk Non-Compliant'!C182</f>
        <v>Was your application developed using secure coding techniques?</v>
      </c>
      <c r="C226" s="3"/>
      <c r="D226" s="220" t="str">
        <f>'High Risk Non-Compliant'!D182</f>
        <v>optimized to prevent injections, xss; use of direct object ref; functional level access</v>
      </c>
      <c r="E226" s="2"/>
      <c r="F226" s="3"/>
      <c r="G226" s="111"/>
      <c r="H226" s="111"/>
      <c r="I226" s="32"/>
      <c r="J226" s="32"/>
      <c r="K226" s="32"/>
      <c r="L226" s="32"/>
      <c r="M226" s="32"/>
      <c r="N226" s="32"/>
      <c r="O226" s="32"/>
      <c r="P226" s="32"/>
      <c r="Q226" s="32"/>
      <c r="R226" s="32"/>
      <c r="S226" s="32"/>
      <c r="T226" s="32"/>
      <c r="U226" s="32"/>
      <c r="V226" s="32"/>
      <c r="W226" s="32"/>
      <c r="X226" s="32"/>
      <c r="Y226" s="32"/>
      <c r="Z226" s="32"/>
    </row>
    <row r="227" ht="29.25" customHeight="1">
      <c r="A227" s="219" t="str">
        <f>'High Risk Non-Compliant'!B183</f>
        <v>PPPR-06</v>
      </c>
      <c r="B227" s="220" t="str">
        <f>'High Risk Non-Compliant'!C183</f>
        <v>Do you subject your code to static code analysis and/or static application security testing prior to release?</v>
      </c>
      <c r="C227" s="3"/>
      <c r="D227" s="220" t="str">
        <f>'High Risk Non-Compliant'!D183</f>
        <v/>
      </c>
      <c r="E227" s="2"/>
      <c r="F227" s="3"/>
      <c r="G227" s="111"/>
      <c r="H227" s="111"/>
      <c r="I227" s="32"/>
      <c r="J227" s="32"/>
      <c r="K227" s="32"/>
      <c r="L227" s="32"/>
      <c r="M227" s="32"/>
      <c r="N227" s="32"/>
      <c r="O227" s="32"/>
      <c r="P227" s="32"/>
      <c r="Q227" s="32"/>
      <c r="R227" s="32"/>
      <c r="S227" s="32"/>
      <c r="T227" s="32"/>
      <c r="U227" s="32"/>
      <c r="V227" s="32"/>
      <c r="W227" s="32"/>
      <c r="X227" s="32"/>
      <c r="Y227" s="32"/>
      <c r="Z227" s="32"/>
    </row>
    <row r="228" ht="29.25" customHeight="1">
      <c r="A228" s="219" t="str">
        <f>'High Risk Non-Compliant'!B184</f>
        <v>PPPR-07</v>
      </c>
      <c r="B228" s="220" t="str">
        <f>'High Risk Non-Compliant'!C184</f>
        <v>Do you have software testing processes (dynamic or static) that are established and followed?</v>
      </c>
      <c r="C228" s="3"/>
      <c r="D228" s="220" t="str">
        <f>'High Risk Non-Compliant'!D184</f>
        <v>(1) Requirements created 
(2) Test Plan started 
(3) code pushed to dev environment 
(4) test plan modified 
(5) test plan succeeds/fails 
(6) code move to staging environment, retested 
(7) deployed</v>
      </c>
      <c r="E228" s="2"/>
      <c r="F228" s="3"/>
      <c r="G228" s="111"/>
      <c r="H228" s="111"/>
      <c r="I228" s="32"/>
      <c r="J228" s="32"/>
      <c r="K228" s="32"/>
      <c r="L228" s="32"/>
      <c r="M228" s="32"/>
      <c r="N228" s="32"/>
      <c r="O228" s="32"/>
      <c r="P228" s="32"/>
      <c r="Q228" s="32"/>
      <c r="R228" s="32"/>
      <c r="S228" s="32"/>
      <c r="T228" s="32"/>
      <c r="U228" s="32"/>
      <c r="V228" s="32"/>
      <c r="W228" s="32"/>
      <c r="X228" s="32"/>
      <c r="Y228" s="32"/>
      <c r="Z228" s="32"/>
    </row>
    <row r="229" ht="15.75" customHeight="1">
      <c r="A229" s="219" t="str">
        <f>'High Risk Non-Compliant'!B185</f>
        <v>PPPR-08</v>
      </c>
      <c r="B229" s="220" t="str">
        <f>'High Risk Non-Compliant'!C185</f>
        <v>Are information security principles designed into the product lifecycle?</v>
      </c>
      <c r="C229" s="3"/>
      <c r="D229" s="220" t="str">
        <f>'High Risk Non-Compliant'!D185</f>
        <v>(1) Requirements provided / reviewed by software team for security issues 
(2) Code peer reviewed, comments reviewed 
(3) Test plan created and reviewed by software team 
(4) Tests/automated testing</v>
      </c>
      <c r="E229" s="2"/>
      <c r="F229" s="3"/>
      <c r="G229" s="111"/>
      <c r="H229" s="111"/>
      <c r="I229" s="32"/>
      <c r="J229" s="32"/>
      <c r="K229" s="32"/>
      <c r="L229" s="32"/>
      <c r="M229" s="32"/>
      <c r="N229" s="32"/>
      <c r="O229" s="32"/>
      <c r="P229" s="32"/>
      <c r="Q229" s="32"/>
      <c r="R229" s="32"/>
      <c r="S229" s="32"/>
      <c r="T229" s="32"/>
      <c r="U229" s="32"/>
      <c r="V229" s="32"/>
      <c r="W229" s="32"/>
      <c r="X229" s="32"/>
      <c r="Y229" s="32"/>
      <c r="Z229" s="32"/>
    </row>
    <row r="230" ht="29.25" customHeight="1">
      <c r="A230" s="219" t="str">
        <f>'High Risk Non-Compliant'!B186</f>
        <v>PPPR-09</v>
      </c>
      <c r="B230" s="220" t="str">
        <f>'High Risk Non-Compliant'!C186</f>
        <v>Do you have a documented systems development life cycle (SDLC)?</v>
      </c>
      <c r="C230" s="3"/>
      <c r="D230" s="220" t="str">
        <f>'High Risk Non-Compliant'!D186</f>
        <v>Agile</v>
      </c>
      <c r="E230" s="2"/>
      <c r="F230" s="3"/>
      <c r="G230" s="111"/>
      <c r="H230" s="111"/>
      <c r="I230" s="32"/>
      <c r="J230" s="32"/>
      <c r="K230" s="32"/>
      <c r="L230" s="32"/>
      <c r="M230" s="32"/>
      <c r="N230" s="32"/>
      <c r="O230" s="32"/>
      <c r="P230" s="32"/>
      <c r="Q230" s="32"/>
      <c r="R230" s="32"/>
      <c r="S230" s="32"/>
      <c r="T230" s="32"/>
      <c r="U230" s="32"/>
      <c r="V230" s="32"/>
      <c r="W230" s="32"/>
      <c r="X230" s="32"/>
      <c r="Y230" s="32"/>
      <c r="Z230" s="32"/>
    </row>
    <row r="231" ht="29.25" customHeight="1">
      <c r="A231" s="219" t="str">
        <f>'High Risk Non-Compliant'!B187</f>
        <v>PPPR-10</v>
      </c>
      <c r="B231" s="220" t="str">
        <f>'High Risk Non-Compliant'!C187</f>
        <v>Do you have a formal incident response plan?</v>
      </c>
      <c r="C231" s="3"/>
      <c r="D231" s="220" t="str">
        <f>'High Risk Non-Compliant'!D187</f>
        <v>All incidents are reported within 48 hours of identification; updates provided as needed.</v>
      </c>
      <c r="E231" s="2"/>
      <c r="F231" s="3"/>
      <c r="G231" s="111"/>
      <c r="H231" s="111"/>
      <c r="I231" s="32"/>
      <c r="J231" s="32"/>
      <c r="K231" s="32"/>
      <c r="L231" s="32"/>
      <c r="M231" s="32"/>
      <c r="N231" s="32"/>
      <c r="O231" s="32"/>
      <c r="P231" s="32"/>
      <c r="Q231" s="32"/>
      <c r="R231" s="32"/>
      <c r="S231" s="32"/>
      <c r="T231" s="32"/>
      <c r="U231" s="32"/>
      <c r="V231" s="32"/>
      <c r="W231" s="32"/>
      <c r="X231" s="32"/>
      <c r="Y231" s="32"/>
      <c r="Z231" s="32"/>
    </row>
    <row r="232" ht="43.5" customHeight="1">
      <c r="A232" s="219" t="str">
        <f>'High Risk Non-Compliant'!B188</f>
        <v>PPPR-11</v>
      </c>
      <c r="B232" s="220" t="str">
        <f>'High Risk Non-Compliant'!C188</f>
        <v>Will you comply with applicable breach notification laws?</v>
      </c>
      <c r="C232" s="3"/>
      <c r="D232" s="220" t="str">
        <f>'High Risk Non-Compliant'!D188</f>
        <v>48hrs</v>
      </c>
      <c r="E232" s="2"/>
      <c r="F232" s="3"/>
      <c r="G232" s="111"/>
      <c r="H232" s="111"/>
      <c r="I232" s="32"/>
      <c r="J232" s="32"/>
      <c r="K232" s="32"/>
      <c r="L232" s="32"/>
      <c r="M232" s="32"/>
      <c r="N232" s="32"/>
      <c r="O232" s="32"/>
      <c r="P232" s="32"/>
      <c r="Q232" s="32"/>
      <c r="R232" s="32"/>
      <c r="S232" s="32"/>
      <c r="T232" s="32"/>
      <c r="U232" s="32"/>
      <c r="V232" s="32"/>
      <c r="W232" s="32"/>
      <c r="X232" s="32"/>
      <c r="Y232" s="32"/>
      <c r="Z232" s="32"/>
    </row>
    <row r="233" ht="15.75" customHeight="1">
      <c r="A233" s="219" t="str">
        <f>'High Risk Non-Compliant'!B189</f>
        <v>PPPR-12</v>
      </c>
      <c r="B233" s="220" t="str">
        <f>'High Risk Non-Compliant'!C189</f>
        <v>Will you comply with the Institution's IT policies with regards to user privacy and data protection?</v>
      </c>
      <c r="C233" s="3"/>
      <c r="D233" s="220" t="str">
        <f>'High Risk Non-Compliant'!D189</f>
        <v/>
      </c>
      <c r="E233" s="2"/>
      <c r="F233" s="3"/>
      <c r="G233" s="111"/>
      <c r="H233" s="111"/>
      <c r="I233" s="32"/>
      <c r="J233" s="32"/>
      <c r="K233" s="32"/>
      <c r="L233" s="32"/>
      <c r="M233" s="32"/>
      <c r="N233" s="32"/>
      <c r="O233" s="32"/>
      <c r="P233" s="32"/>
      <c r="Q233" s="32"/>
      <c r="R233" s="32"/>
      <c r="S233" s="32"/>
      <c r="T233" s="32"/>
      <c r="U233" s="32"/>
      <c r="V233" s="32"/>
      <c r="W233" s="32"/>
      <c r="X233" s="32"/>
      <c r="Y233" s="32"/>
      <c r="Z233" s="32"/>
    </row>
    <row r="234" ht="15.75" customHeight="1">
      <c r="A234" s="219" t="str">
        <f>'High Risk Non-Compliant'!B190</f>
        <v>PPPR-13</v>
      </c>
      <c r="B234" s="220" t="str">
        <f>'High Risk Non-Compliant'!C190</f>
        <v>Is your company subject to Institution's Data Zone laws and regulations?</v>
      </c>
      <c r="C234" s="3"/>
      <c r="D234" s="220" t="str">
        <f>'High Risk Non-Compliant'!D190</f>
        <v/>
      </c>
      <c r="E234" s="2"/>
      <c r="F234" s="3"/>
      <c r="G234" s="111"/>
      <c r="H234" s="111"/>
      <c r="I234" s="32"/>
      <c r="J234" s="32"/>
      <c r="K234" s="32"/>
      <c r="L234" s="32"/>
      <c r="M234" s="32"/>
      <c r="N234" s="32"/>
      <c r="O234" s="32"/>
      <c r="P234" s="32"/>
      <c r="Q234" s="32"/>
      <c r="R234" s="32"/>
      <c r="S234" s="32"/>
      <c r="T234" s="32"/>
      <c r="U234" s="32"/>
      <c r="V234" s="32"/>
      <c r="W234" s="32"/>
      <c r="X234" s="32"/>
      <c r="Y234" s="32"/>
      <c r="Z234" s="32"/>
    </row>
    <row r="235" ht="15.75" customHeight="1">
      <c r="A235" s="219" t="str">
        <f>'High Risk Non-Compliant'!B191</f>
        <v>PPPR-14</v>
      </c>
      <c r="B235" s="220" t="str">
        <f>'High Risk Non-Compliant'!C191</f>
        <v>Do you perform background screenings or multi-state background checks on all employees prior to their first day of work?</v>
      </c>
      <c r="C235" s="3"/>
      <c r="D235" s="220" t="str">
        <f>'High Risk Non-Compliant'!D191</f>
        <v>Only for technology and finance teams</v>
      </c>
      <c r="E235" s="2"/>
      <c r="F235" s="3"/>
      <c r="G235" s="111"/>
      <c r="H235" s="111"/>
      <c r="I235" s="32"/>
      <c r="J235" s="32"/>
      <c r="K235" s="32"/>
      <c r="L235" s="32"/>
      <c r="M235" s="32"/>
      <c r="N235" s="32"/>
      <c r="O235" s="32"/>
      <c r="P235" s="32"/>
      <c r="Q235" s="32"/>
      <c r="R235" s="32"/>
      <c r="S235" s="32"/>
      <c r="T235" s="32"/>
      <c r="U235" s="32"/>
      <c r="V235" s="32"/>
      <c r="W235" s="32"/>
      <c r="X235" s="32"/>
      <c r="Y235" s="32"/>
      <c r="Z235" s="32"/>
    </row>
    <row r="236" ht="15.75" customHeight="1">
      <c r="A236" s="219" t="str">
        <f>'High Risk Non-Compliant'!B192</f>
        <v>PPPR-15</v>
      </c>
      <c r="B236" s="220" t="str">
        <f>'High Risk Non-Compliant'!C192</f>
        <v>Do you require new employees to fill out agreements and review policies?  </v>
      </c>
      <c r="C236" s="3"/>
      <c r="D236" s="220" t="str">
        <f>'High Risk Non-Compliant'!D192</f>
        <v/>
      </c>
      <c r="E236" s="2"/>
      <c r="F236" s="3"/>
      <c r="G236" s="111"/>
      <c r="H236" s="111"/>
      <c r="I236" s="32"/>
      <c r="J236" s="32"/>
      <c r="K236" s="32"/>
      <c r="L236" s="32"/>
      <c r="M236" s="32"/>
      <c r="N236" s="32"/>
      <c r="O236" s="32"/>
      <c r="P236" s="32"/>
      <c r="Q236" s="32"/>
      <c r="R236" s="32"/>
      <c r="S236" s="32"/>
      <c r="T236" s="32"/>
      <c r="U236" s="32"/>
      <c r="V236" s="32"/>
      <c r="W236" s="32"/>
      <c r="X236" s="32"/>
      <c r="Y236" s="32"/>
      <c r="Z236" s="32"/>
    </row>
    <row r="237" ht="15.75" customHeight="1">
      <c r="A237" s="219" t="str">
        <f>'High Risk Non-Compliant'!B193</f>
        <v>PPPR-16</v>
      </c>
      <c r="B237" s="220" t="str">
        <f>'High Risk Non-Compliant'!C193</f>
        <v>Do you have documented information security policy?</v>
      </c>
      <c r="C237" s="3"/>
      <c r="D237" s="220" t="str">
        <f>'High Risk Non-Compliant'!D193</f>
        <v>In our company handbook, there is a section on information security.  IT team has an internal wiki with more detailed info</v>
      </c>
      <c r="E237" s="2"/>
      <c r="F237" s="3"/>
      <c r="G237" s="111"/>
      <c r="H237" s="111"/>
      <c r="I237" s="32"/>
      <c r="J237" s="32"/>
      <c r="K237" s="32"/>
      <c r="L237" s="32"/>
      <c r="M237" s="32"/>
      <c r="N237" s="32"/>
      <c r="O237" s="32"/>
      <c r="P237" s="32"/>
      <c r="Q237" s="32"/>
      <c r="R237" s="32"/>
      <c r="S237" s="32"/>
      <c r="T237" s="32"/>
      <c r="U237" s="32"/>
      <c r="V237" s="32"/>
      <c r="W237" s="32"/>
      <c r="X237" s="32"/>
      <c r="Y237" s="32"/>
      <c r="Z237" s="32"/>
    </row>
    <row r="238" ht="15.75" customHeight="1">
      <c r="A238" s="219" t="str">
        <f>'High Risk Non-Compliant'!B194</f>
        <v>PPPR-17</v>
      </c>
      <c r="B238" s="220" t="str">
        <f>'High Risk Non-Compliant'!C194</f>
        <v>Do you have an information security awareness program?</v>
      </c>
      <c r="C238" s="3"/>
      <c r="D238" s="220" t="str">
        <f>'High Risk Non-Compliant'!D194</f>
        <v>Once a year we have a day long information security training; training is mandatory</v>
      </c>
      <c r="E238" s="2"/>
      <c r="F238" s="3"/>
      <c r="G238" s="111"/>
      <c r="H238" s="111"/>
      <c r="I238" s="32"/>
      <c r="J238" s="32"/>
      <c r="K238" s="32"/>
      <c r="L238" s="32"/>
      <c r="M238" s="32"/>
      <c r="N238" s="32"/>
      <c r="O238" s="32"/>
      <c r="P238" s="32"/>
      <c r="Q238" s="32"/>
      <c r="R238" s="32"/>
      <c r="S238" s="32"/>
      <c r="T238" s="32"/>
      <c r="U238" s="32"/>
      <c r="V238" s="32"/>
      <c r="W238" s="32"/>
      <c r="X238" s="32"/>
      <c r="Y238" s="32"/>
      <c r="Z238" s="32"/>
    </row>
    <row r="239" ht="15.75" customHeight="1">
      <c r="A239" s="219" t="str">
        <f>'High Risk Non-Compliant'!B195</f>
        <v>PPPR-18</v>
      </c>
      <c r="B239" s="220" t="str">
        <f>'High Risk Non-Compliant'!C195</f>
        <v>Is security awareness training mandatory for all employees?</v>
      </c>
      <c r="C239" s="3"/>
      <c r="D239" s="220" t="str">
        <f>'High Risk Non-Compliant'!D195</f>
        <v/>
      </c>
      <c r="E239" s="2"/>
      <c r="F239" s="3"/>
      <c r="G239" s="111"/>
      <c r="H239" s="111"/>
      <c r="I239" s="32"/>
      <c r="J239" s="32"/>
      <c r="K239" s="32"/>
      <c r="L239" s="32"/>
      <c r="M239" s="32"/>
      <c r="N239" s="32"/>
      <c r="O239" s="32"/>
      <c r="P239" s="32"/>
      <c r="Q239" s="32"/>
      <c r="R239" s="32"/>
      <c r="S239" s="32"/>
      <c r="T239" s="32"/>
      <c r="U239" s="32"/>
      <c r="V239" s="32"/>
      <c r="W239" s="32"/>
      <c r="X239" s="32"/>
      <c r="Y239" s="32"/>
      <c r="Z239" s="32"/>
    </row>
    <row r="240" ht="15.75" customHeight="1">
      <c r="A240" s="219" t="str">
        <f>'High Risk Non-Compliant'!B196</f>
        <v>PPPR-19</v>
      </c>
      <c r="B240" s="220" t="str">
        <f>'High Risk Non-Compliant'!C196</f>
        <v>Do you have process and procedure(s) documented, and currently followed, that require a review and update of the access-list(s) for privileged accounts?</v>
      </c>
      <c r="C240" s="3"/>
      <c r="D240" s="220" t="str">
        <f>'High Risk Non-Compliant'!D196</f>
        <v/>
      </c>
      <c r="E240" s="2"/>
      <c r="F240" s="3"/>
      <c r="G240" s="111"/>
      <c r="H240" s="111"/>
      <c r="I240" s="32"/>
      <c r="J240" s="32"/>
      <c r="K240" s="32"/>
      <c r="L240" s="32"/>
      <c r="M240" s="32"/>
      <c r="N240" s="32"/>
      <c r="O240" s="32"/>
      <c r="P240" s="32"/>
      <c r="Q240" s="32"/>
      <c r="R240" s="32"/>
      <c r="S240" s="32"/>
      <c r="T240" s="32"/>
      <c r="U240" s="32"/>
      <c r="V240" s="32"/>
      <c r="W240" s="32"/>
      <c r="X240" s="32"/>
      <c r="Y240" s="32"/>
      <c r="Z240" s="32"/>
    </row>
    <row r="241" ht="15.75" customHeight="1">
      <c r="A241" s="219" t="str">
        <f>'High Risk Non-Compliant'!B197</f>
        <v>PPPR-20</v>
      </c>
      <c r="B241" s="220" t="str">
        <f>'High Risk Non-Compliant'!C197</f>
        <v>Do you have documented, and currently implemented, internal audit processes and procedures?</v>
      </c>
      <c r="C241" s="3"/>
      <c r="D241" s="220" t="str">
        <f>'High Risk Non-Compliant'!D197</f>
        <v>We audit our logs once a month to look for any aberrations</v>
      </c>
      <c r="E241" s="2"/>
      <c r="F241" s="3"/>
      <c r="G241" s="111"/>
      <c r="H241" s="111"/>
      <c r="I241" s="32"/>
      <c r="J241" s="32"/>
      <c r="K241" s="32"/>
      <c r="L241" s="32"/>
      <c r="M241" s="32"/>
      <c r="N241" s="32"/>
      <c r="O241" s="32"/>
      <c r="P241" s="32"/>
      <c r="Q241" s="32"/>
      <c r="R241" s="32"/>
      <c r="S241" s="32"/>
      <c r="T241" s="32"/>
      <c r="U241" s="32"/>
      <c r="V241" s="32"/>
      <c r="W241" s="32"/>
      <c r="X241" s="32"/>
      <c r="Y241" s="32"/>
      <c r="Z241" s="32"/>
    </row>
    <row r="242" ht="15.75" customHeight="1">
      <c r="A242" s="219" t="str">
        <f>'High Risk Non-Compliant'!B198</f>
        <v>PROD-01</v>
      </c>
      <c r="B242" s="220" t="str">
        <f>'High Risk Non-Compliant'!C198</f>
        <v>Do you incorporate customer feedback into security feature requests?</v>
      </c>
      <c r="C242" s="3"/>
      <c r="D242" s="220" t="str">
        <f>'High Risk Non-Compliant'!D198</f>
        <v>email:  support@ivy.ai</v>
      </c>
      <c r="E242" s="2"/>
      <c r="F242" s="3"/>
      <c r="G242" s="111"/>
      <c r="H242" s="111"/>
      <c r="I242" s="32"/>
      <c r="J242" s="32"/>
      <c r="K242" s="32"/>
      <c r="L242" s="32"/>
      <c r="M242" s="32"/>
      <c r="N242" s="32"/>
      <c r="O242" s="32"/>
      <c r="P242" s="32"/>
      <c r="Q242" s="32"/>
      <c r="R242" s="32"/>
      <c r="S242" s="32"/>
      <c r="T242" s="32"/>
      <c r="U242" s="32"/>
      <c r="V242" s="32"/>
      <c r="W242" s="32"/>
      <c r="X242" s="32"/>
      <c r="Y242" s="32"/>
      <c r="Z242" s="32"/>
    </row>
    <row r="243" ht="29.25" customHeight="1">
      <c r="A243" s="219" t="str">
        <f>'High Risk Non-Compliant'!B199</f>
        <v>PROD-02</v>
      </c>
      <c r="B243" s="220" t="str">
        <f>'High Risk Non-Compliant'!C199</f>
        <v>Can you provide an evaluation site to the institution for testing?</v>
      </c>
      <c r="C243" s="3"/>
      <c r="D243" s="220" t="str">
        <f>'High Risk Non-Compliant'!D199</f>
        <v>We provide a sandbox link for testing</v>
      </c>
      <c r="E243" s="2"/>
      <c r="F243" s="3"/>
      <c r="G243" s="111"/>
      <c r="H243" s="111"/>
      <c r="I243" s="32"/>
      <c r="J243" s="32"/>
      <c r="K243" s="32"/>
      <c r="L243" s="32"/>
      <c r="M243" s="32"/>
      <c r="N243" s="32"/>
      <c r="O243" s="32"/>
      <c r="P243" s="32"/>
      <c r="Q243" s="32"/>
      <c r="R243" s="32"/>
      <c r="S243" s="32"/>
      <c r="T243" s="32"/>
      <c r="U243" s="32"/>
      <c r="V243" s="32"/>
      <c r="W243" s="32"/>
      <c r="X243" s="32"/>
      <c r="Y243" s="32"/>
      <c r="Z243" s="32"/>
    </row>
    <row r="244" ht="29.25" customHeight="1">
      <c r="A244" s="219" t="str">
        <f>'High Risk Non-Compliant'!B200</f>
        <v>QLAS-01</v>
      </c>
      <c r="B244" s="220" t="str">
        <f>'High Risk Non-Compliant'!C200</f>
        <v>Provide a general summary of your Quality Assurance program.</v>
      </c>
      <c r="C244" s="3"/>
      <c r="D244" s="220" t="str">
        <f>'High Risk Non-Compliant'!D200</f>
        <v/>
      </c>
      <c r="E244" s="2"/>
      <c r="F244" s="3"/>
      <c r="G244" s="111"/>
      <c r="H244" s="111"/>
      <c r="I244" s="32"/>
      <c r="J244" s="32"/>
      <c r="K244" s="32"/>
      <c r="L244" s="32"/>
      <c r="M244" s="32"/>
      <c r="N244" s="32"/>
      <c r="O244" s="32"/>
      <c r="P244" s="32"/>
      <c r="Q244" s="32"/>
      <c r="R244" s="32"/>
      <c r="S244" s="32"/>
      <c r="T244" s="32"/>
      <c r="U244" s="32"/>
      <c r="V244" s="32"/>
      <c r="W244" s="32"/>
      <c r="X244" s="32"/>
      <c r="Y244" s="32"/>
      <c r="Z244" s="32"/>
    </row>
    <row r="245" ht="58.5" customHeight="1">
      <c r="A245" s="219" t="str">
        <f>'High Risk Non-Compliant'!B201</f>
        <v>QLAS-02</v>
      </c>
      <c r="B245" s="220" t="str">
        <f>'High Risk Non-Compliant'!C201</f>
        <v>Do you comply with ISO 9001?</v>
      </c>
      <c r="C245" s="3"/>
      <c r="D245" s="220" t="str">
        <f>'High Risk Non-Compliant'!D201</f>
        <v/>
      </c>
      <c r="E245" s="2"/>
      <c r="F245" s="3"/>
      <c r="G245" s="111"/>
      <c r="H245" s="111"/>
      <c r="I245" s="32"/>
      <c r="J245" s="32"/>
      <c r="K245" s="32"/>
      <c r="L245" s="32"/>
      <c r="M245" s="32"/>
      <c r="N245" s="32"/>
      <c r="O245" s="32"/>
      <c r="P245" s="32"/>
      <c r="Q245" s="32"/>
      <c r="R245" s="32"/>
      <c r="S245" s="32"/>
      <c r="T245" s="32"/>
      <c r="U245" s="32"/>
      <c r="V245" s="32"/>
      <c r="W245" s="32"/>
      <c r="X245" s="32"/>
      <c r="Y245" s="32"/>
      <c r="Z245" s="32"/>
    </row>
    <row r="246" ht="43.5" customHeight="1">
      <c r="A246" s="219" t="str">
        <f>'High Risk Non-Compliant'!B202</f>
        <v>QLAS-03</v>
      </c>
      <c r="B246" s="220" t="str">
        <f>'High Risk Non-Compliant'!C202</f>
        <v>Will your company provide quality and performance metrics in relation to the scope of services and performance expectations for the services you are offering?</v>
      </c>
      <c r="C246" s="3"/>
      <c r="D246" s="220" t="str">
        <f>'High Risk Non-Compliant'!D202</f>
        <v>We provide a full audit trail of our work for our partners to review at any time</v>
      </c>
      <c r="E246" s="2"/>
      <c r="F246" s="3"/>
      <c r="G246" s="111"/>
      <c r="H246" s="111"/>
      <c r="I246" s="32"/>
      <c r="J246" s="32"/>
      <c r="K246" s="32"/>
      <c r="L246" s="32"/>
      <c r="M246" s="32"/>
      <c r="N246" s="32"/>
      <c r="O246" s="32"/>
      <c r="P246" s="32"/>
      <c r="Q246" s="32"/>
      <c r="R246" s="32"/>
      <c r="S246" s="32"/>
      <c r="T246" s="32"/>
      <c r="U246" s="32"/>
      <c r="V246" s="32"/>
      <c r="W246" s="32"/>
      <c r="X246" s="32"/>
      <c r="Y246" s="32"/>
      <c r="Z246" s="32"/>
    </row>
    <row r="247" ht="29.25" customHeight="1">
      <c r="A247" s="219" t="str">
        <f>'High Risk Non-Compliant'!B203</f>
        <v>QLAS-04</v>
      </c>
      <c r="B247" s="220" t="str">
        <f>'High Risk Non-Compliant'!C203</f>
        <v>Have you supplied products and/or services to the Institution (or its Campuses) in the last five years?</v>
      </c>
      <c r="C247" s="3"/>
      <c r="D247" s="220" t="str">
        <f>'High Risk Non-Compliant'!D203</f>
        <v/>
      </c>
      <c r="E247" s="2"/>
      <c r="F247" s="3"/>
      <c r="G247" s="111"/>
      <c r="H247" s="111"/>
      <c r="I247" s="32"/>
      <c r="J247" s="32"/>
      <c r="K247" s="32"/>
      <c r="L247" s="32"/>
      <c r="M247" s="32"/>
      <c r="N247" s="32"/>
      <c r="O247" s="32"/>
      <c r="P247" s="32"/>
      <c r="Q247" s="32"/>
      <c r="R247" s="32"/>
      <c r="S247" s="32"/>
      <c r="T247" s="32"/>
      <c r="U247" s="32"/>
      <c r="V247" s="32"/>
      <c r="W247" s="32"/>
      <c r="X247" s="32"/>
      <c r="Y247" s="32"/>
      <c r="Z247" s="32"/>
    </row>
    <row r="248" ht="43.5" customHeight="1">
      <c r="A248" s="219" t="str">
        <f>'High Risk Non-Compliant'!B204</f>
        <v>QLAS-05</v>
      </c>
      <c r="B248" s="220" t="str">
        <f>'High Risk Non-Compliant'!C204</f>
        <v>Do you have a program to keep your customers abreast of higher education and/or industry issues?</v>
      </c>
      <c r="C248" s="3"/>
      <c r="D248" s="220" t="str">
        <f>'High Risk Non-Compliant'!D204</f>
        <v>no plans at this point</v>
      </c>
      <c r="E248" s="2"/>
      <c r="F248" s="3"/>
      <c r="G248" s="111"/>
      <c r="H248" s="111"/>
      <c r="I248" s="32"/>
      <c r="J248" s="32"/>
      <c r="K248" s="32"/>
      <c r="L248" s="32"/>
      <c r="M248" s="32"/>
      <c r="N248" s="32"/>
      <c r="O248" s="32"/>
      <c r="P248" s="32"/>
      <c r="Q248" s="32"/>
      <c r="R248" s="32"/>
      <c r="S248" s="32"/>
      <c r="T248" s="32"/>
      <c r="U248" s="32"/>
      <c r="V248" s="32"/>
      <c r="W248" s="32"/>
      <c r="X248" s="32"/>
      <c r="Y248" s="32"/>
      <c r="Z248" s="32"/>
    </row>
    <row r="249" ht="29.25" customHeight="1">
      <c r="A249" s="219" t="str">
        <f>'High Risk Non-Compliant'!B205</f>
        <v>SYST-01</v>
      </c>
      <c r="B249" s="220" t="str">
        <f>'High Risk Non-Compliant'!C205</f>
        <v>Are systems that support this service managed via a separate management network?</v>
      </c>
      <c r="C249" s="3"/>
      <c r="D249" s="220" t="str">
        <f>'High Risk Non-Compliant'!D205</f>
        <v>Google</v>
      </c>
      <c r="E249" s="2"/>
      <c r="F249" s="3"/>
      <c r="G249" s="111"/>
      <c r="H249" s="111"/>
      <c r="I249" s="32"/>
      <c r="J249" s="32"/>
      <c r="K249" s="32"/>
      <c r="L249" s="32"/>
      <c r="M249" s="32"/>
      <c r="N249" s="32"/>
      <c r="O249" s="32"/>
      <c r="P249" s="32"/>
      <c r="Q249" s="32"/>
      <c r="R249" s="32"/>
      <c r="S249" s="32"/>
      <c r="T249" s="32"/>
      <c r="U249" s="32"/>
      <c r="V249" s="32"/>
      <c r="W249" s="32"/>
      <c r="X249" s="32"/>
      <c r="Y249" s="32"/>
      <c r="Z249" s="32"/>
    </row>
    <row r="250" ht="175.5" customHeight="1">
      <c r="A250" s="219" t="str">
        <f>'High Risk Non-Compliant'!B206</f>
        <v>SYST-02</v>
      </c>
      <c r="B250" s="220" t="str">
        <f>'High Risk Non-Compliant'!C206</f>
        <v>Do you have an implemented system configuration management process? (e.g. secure "gold" images, etc.)</v>
      </c>
      <c r="C250" s="3"/>
      <c r="D250" s="220" t="str">
        <f>'High Risk Non-Compliant'!D206</f>
        <v/>
      </c>
      <c r="E250" s="2"/>
      <c r="F250" s="3"/>
      <c r="G250" s="111"/>
      <c r="H250" s="111"/>
      <c r="I250" s="32"/>
      <c r="J250" s="32"/>
      <c r="K250" s="32"/>
      <c r="L250" s="32"/>
      <c r="M250" s="32"/>
      <c r="N250" s="32"/>
      <c r="O250" s="32"/>
      <c r="P250" s="32"/>
      <c r="Q250" s="32"/>
      <c r="R250" s="32"/>
      <c r="S250" s="32"/>
      <c r="T250" s="32"/>
      <c r="U250" s="32"/>
      <c r="V250" s="32"/>
      <c r="W250" s="32"/>
      <c r="X250" s="32"/>
      <c r="Y250" s="32"/>
      <c r="Z250" s="32"/>
    </row>
    <row r="251" ht="72.75" customHeight="1">
      <c r="A251" s="219" t="str">
        <f>'High Risk Non-Compliant'!B207</f>
        <v>SYST-03</v>
      </c>
      <c r="B251" s="220" t="str">
        <f>'High Risk Non-Compliant'!C207</f>
        <v>Are employee mobile devices managed by your company's Mobile Device Management (MDM) platform?</v>
      </c>
      <c r="C251" s="3"/>
      <c r="D251" s="220" t="str">
        <f>'High Risk Non-Compliant'!D207</f>
        <v/>
      </c>
      <c r="E251" s="2"/>
      <c r="F251" s="3"/>
      <c r="G251" s="111"/>
      <c r="H251" s="111"/>
      <c r="I251" s="32"/>
      <c r="J251" s="32"/>
      <c r="K251" s="32"/>
      <c r="L251" s="32"/>
      <c r="M251" s="32"/>
      <c r="N251" s="32"/>
      <c r="O251" s="32"/>
      <c r="P251" s="32"/>
      <c r="Q251" s="32"/>
      <c r="R251" s="32"/>
      <c r="S251" s="32"/>
      <c r="T251" s="32"/>
      <c r="U251" s="32"/>
      <c r="V251" s="32"/>
      <c r="W251" s="32"/>
      <c r="X251" s="32"/>
      <c r="Y251" s="32"/>
      <c r="Z251" s="32"/>
    </row>
    <row r="252" ht="87.75" customHeight="1">
      <c r="A252" s="219" t="str">
        <f>'High Risk Non-Compliant'!B208</f>
        <v>SYST-04</v>
      </c>
      <c r="B252" s="220" t="str">
        <f>'High Risk Non-Compliant'!C208</f>
        <v>Do you have a systems management and configuration strategy that encompasses servers, appliances, and mobile devices (company and employee owned)?</v>
      </c>
      <c r="C252" s="3"/>
      <c r="D252" s="220" t="str">
        <f>'High Risk Non-Compliant'!D208</f>
        <v/>
      </c>
      <c r="E252" s="2"/>
      <c r="F252" s="3"/>
      <c r="G252" s="111"/>
      <c r="H252" s="111"/>
      <c r="I252" s="32"/>
      <c r="J252" s="32"/>
      <c r="K252" s="32"/>
      <c r="L252" s="32"/>
      <c r="M252" s="32"/>
      <c r="N252" s="32"/>
      <c r="O252" s="32"/>
      <c r="P252" s="32"/>
      <c r="Q252" s="32"/>
      <c r="R252" s="32"/>
      <c r="S252" s="32"/>
      <c r="T252" s="32"/>
      <c r="U252" s="32"/>
      <c r="V252" s="32"/>
      <c r="W252" s="32"/>
      <c r="X252" s="32"/>
      <c r="Y252" s="32"/>
      <c r="Z252" s="32"/>
    </row>
    <row r="253" ht="15.75" customHeight="1">
      <c r="A253" s="219" t="str">
        <f>'High Risk Non-Compliant'!B209</f>
        <v>VULN-01</v>
      </c>
      <c r="B253" s="220" t="str">
        <f>'High Risk Non-Compliant'!C209</f>
        <v>Are your applications scanned externally for vulnerabilities?</v>
      </c>
      <c r="C253" s="3"/>
      <c r="D253" s="220" t="str">
        <f>'High Risk Non-Compliant'!D209</f>
        <v/>
      </c>
      <c r="E253" s="2"/>
      <c r="F253" s="3"/>
      <c r="G253" s="111"/>
      <c r="H253" s="111"/>
      <c r="I253" s="32"/>
      <c r="J253" s="32"/>
      <c r="K253" s="32"/>
      <c r="L253" s="32"/>
      <c r="M253" s="32"/>
      <c r="N253" s="32"/>
      <c r="O253" s="32"/>
      <c r="P253" s="32"/>
      <c r="Q253" s="32"/>
      <c r="R253" s="32"/>
      <c r="S253" s="32"/>
      <c r="T253" s="32"/>
      <c r="U253" s="32"/>
      <c r="V253" s="32"/>
      <c r="W253" s="32"/>
      <c r="X253" s="32"/>
      <c r="Y253" s="32"/>
      <c r="Z253" s="32"/>
    </row>
    <row r="254" ht="29.25" customHeight="1">
      <c r="A254" s="219" t="str">
        <f>'High Risk Non-Compliant'!B210</f>
        <v>VULN-02</v>
      </c>
      <c r="B254" s="220" t="str">
        <f>'High Risk Non-Compliant'!C210</f>
        <v>Have your applications had an external vulnerability assessment in the last year?</v>
      </c>
      <c r="C254" s="3"/>
      <c r="D254" s="220" t="str">
        <f>'High Risk Non-Compliant'!D210</f>
        <v>6/30/2018, planned for 6/2019</v>
      </c>
      <c r="E254" s="2"/>
      <c r="F254" s="3"/>
      <c r="G254" s="111"/>
      <c r="H254" s="111"/>
      <c r="I254" s="32"/>
      <c r="J254" s="32"/>
      <c r="K254" s="32"/>
      <c r="L254" s="32"/>
      <c r="M254" s="32"/>
      <c r="N254" s="32"/>
      <c r="O254" s="32"/>
      <c r="P254" s="32"/>
      <c r="Q254" s="32"/>
      <c r="R254" s="32"/>
      <c r="S254" s="32"/>
      <c r="T254" s="32"/>
      <c r="U254" s="32"/>
      <c r="V254" s="32"/>
      <c r="W254" s="32"/>
      <c r="X254" s="32"/>
      <c r="Y254" s="32"/>
      <c r="Z254" s="32"/>
    </row>
    <row r="255" ht="15.75" customHeight="1">
      <c r="A255" s="219" t="str">
        <f>'High Risk Non-Compliant'!B211</f>
        <v>VULN-03</v>
      </c>
      <c r="B255" s="220" t="str">
        <f>'High Risk Non-Compliant'!C211</f>
        <v>Are your applications scanned for vulnerabilities prior to new releases?</v>
      </c>
      <c r="C255" s="3"/>
      <c r="D255" s="220" t="str">
        <f>'High Risk Non-Compliant'!D211</f>
        <v>We run a vulnerability scan on our staging environment prior to passing the tests before moving to prod</v>
      </c>
      <c r="E255" s="2"/>
      <c r="F255" s="3"/>
      <c r="G255" s="111"/>
      <c r="H255" s="111"/>
      <c r="I255" s="32"/>
      <c r="J255" s="32"/>
      <c r="K255" s="32"/>
      <c r="L255" s="32"/>
      <c r="M255" s="32"/>
      <c r="N255" s="32"/>
      <c r="O255" s="32"/>
      <c r="P255" s="32"/>
      <c r="Q255" s="32"/>
      <c r="R255" s="32"/>
      <c r="S255" s="32"/>
      <c r="T255" s="32"/>
      <c r="U255" s="32"/>
      <c r="V255" s="32"/>
      <c r="W255" s="32"/>
      <c r="X255" s="32"/>
      <c r="Y255" s="32"/>
      <c r="Z255" s="32"/>
    </row>
    <row r="256" ht="15.75" customHeight="1">
      <c r="A256" s="219" t="str">
        <f>'High Risk Non-Compliant'!B212</f>
        <v>VULN-04</v>
      </c>
      <c r="B256" s="220" t="str">
        <f>'High Risk Non-Compliant'!C212</f>
        <v>Are your systems scanned externally for vulnerabilities?</v>
      </c>
      <c r="C256" s="3"/>
      <c r="D256" s="220" t="str">
        <f>'High Risk Non-Compliant'!D212</f>
        <v>Trying to have this in place by end of Q2</v>
      </c>
      <c r="E256" s="2"/>
      <c r="F256" s="3"/>
      <c r="G256" s="111"/>
      <c r="H256" s="111"/>
      <c r="I256" s="32"/>
      <c r="J256" s="32"/>
      <c r="K256" s="32"/>
      <c r="L256" s="32"/>
      <c r="M256" s="32"/>
      <c r="N256" s="32"/>
      <c r="O256" s="32"/>
      <c r="P256" s="32"/>
      <c r="Q256" s="32"/>
      <c r="R256" s="32"/>
      <c r="S256" s="32"/>
      <c r="T256" s="32"/>
      <c r="U256" s="32"/>
      <c r="V256" s="32"/>
      <c r="W256" s="32"/>
      <c r="X256" s="32"/>
      <c r="Y256" s="32"/>
      <c r="Z256" s="32"/>
    </row>
    <row r="257" ht="15.75" customHeight="1">
      <c r="A257" s="219" t="str">
        <f>'High Risk Non-Compliant'!B213</f>
        <v>VULN-05</v>
      </c>
      <c r="B257" s="220" t="str">
        <f>'High Risk Non-Compliant'!C213</f>
        <v>Have your systems had an external vulnerability assessment in the last year?</v>
      </c>
      <c r="C257" s="3"/>
      <c r="D257" s="220" t="str">
        <f>'High Risk Non-Compliant'!D213</f>
        <v/>
      </c>
      <c r="E257" s="2"/>
      <c r="F257" s="3"/>
      <c r="G257" s="111"/>
      <c r="H257" s="111"/>
      <c r="I257" s="32"/>
      <c r="J257" s="32"/>
      <c r="K257" s="32"/>
      <c r="L257" s="32"/>
      <c r="M257" s="32"/>
      <c r="N257" s="32"/>
      <c r="O257" s="32"/>
      <c r="P257" s="32"/>
      <c r="Q257" s="32"/>
      <c r="R257" s="32"/>
      <c r="S257" s="32"/>
      <c r="T257" s="32"/>
      <c r="U257" s="32"/>
      <c r="V257" s="32"/>
      <c r="W257" s="32"/>
      <c r="X257" s="32"/>
      <c r="Y257" s="32"/>
      <c r="Z257" s="32"/>
    </row>
    <row r="258" ht="15.75" customHeight="1">
      <c r="A258" s="219" t="str">
        <f>'High Risk Non-Compliant'!B214</f>
        <v>VULN-06</v>
      </c>
      <c r="B258" s="220" t="str">
        <f>'High Risk Non-Compliant'!C214</f>
        <v>Describe or provide a reference to the tool(s) used to scan for vulnerabilities in your applications and systems.</v>
      </c>
      <c r="C258" s="3"/>
      <c r="D258" s="220" t="str">
        <f>'High Risk Non-Compliant'!D214</f>
        <v/>
      </c>
      <c r="E258" s="2"/>
      <c r="F258" s="3"/>
      <c r="G258" s="111"/>
      <c r="H258" s="111"/>
      <c r="I258" s="32"/>
      <c r="J258" s="32"/>
      <c r="K258" s="32"/>
      <c r="L258" s="32"/>
      <c r="M258" s="32"/>
      <c r="N258" s="32"/>
      <c r="O258" s="32"/>
      <c r="P258" s="32"/>
      <c r="Q258" s="32"/>
      <c r="R258" s="32"/>
      <c r="S258" s="32"/>
      <c r="T258" s="32"/>
      <c r="U258" s="32"/>
      <c r="V258" s="32"/>
      <c r="W258" s="32"/>
      <c r="X258" s="32"/>
      <c r="Y258" s="32"/>
      <c r="Z258" s="32"/>
    </row>
    <row r="259" ht="15.75" customHeight="1">
      <c r="A259" s="219" t="str">
        <f>'High Risk Non-Compliant'!B215</f>
        <v>VULN-07</v>
      </c>
      <c r="B259" s="220" t="str">
        <f>'High Risk Non-Compliant'!C215</f>
        <v>Will you provide results of security scans to the Institution?</v>
      </c>
      <c r="C259" s="3"/>
      <c r="D259" s="220" t="str">
        <f>'High Risk Non-Compliant'!D215</f>
        <v>NDA</v>
      </c>
      <c r="E259" s="2"/>
      <c r="F259" s="3"/>
      <c r="G259" s="111"/>
      <c r="H259" s="111"/>
      <c r="I259" s="32"/>
      <c r="J259" s="32"/>
      <c r="K259" s="32"/>
      <c r="L259" s="32"/>
      <c r="M259" s="32"/>
      <c r="N259" s="32"/>
      <c r="O259" s="32"/>
      <c r="P259" s="32"/>
      <c r="Q259" s="32"/>
      <c r="R259" s="32"/>
      <c r="S259" s="32"/>
      <c r="T259" s="32"/>
      <c r="U259" s="32"/>
      <c r="V259" s="32"/>
      <c r="W259" s="32"/>
      <c r="X259" s="32"/>
      <c r="Y259" s="32"/>
      <c r="Z259" s="32"/>
    </row>
    <row r="260" ht="15.75" customHeight="1">
      <c r="A260" s="219" t="str">
        <f>'High Risk Non-Compliant'!B216</f>
        <v>VULN-08</v>
      </c>
      <c r="B260" s="220" t="str">
        <f>'High Risk Non-Compliant'!C216</f>
        <v>Describe or provide a reference to how you monitor for and protect against common web application security vulnerabilities (e.g. SQL injection, XSS, XSRF, etc.).</v>
      </c>
      <c r="C260" s="3"/>
      <c r="D260" s="220" t="str">
        <f>'High Risk Non-Compliant'!D216</f>
        <v/>
      </c>
      <c r="E260" s="2"/>
      <c r="F260" s="3"/>
      <c r="G260" s="111"/>
      <c r="H260" s="111"/>
      <c r="I260" s="32"/>
      <c r="J260" s="32"/>
      <c r="K260" s="32"/>
      <c r="L260" s="32"/>
      <c r="M260" s="32"/>
      <c r="N260" s="32"/>
      <c r="O260" s="32"/>
      <c r="P260" s="32"/>
      <c r="Q260" s="32"/>
      <c r="R260" s="32"/>
      <c r="S260" s="32"/>
      <c r="T260" s="32"/>
      <c r="U260" s="32"/>
      <c r="V260" s="32"/>
      <c r="W260" s="32"/>
      <c r="X260" s="32"/>
      <c r="Y260" s="32"/>
      <c r="Z260" s="32"/>
    </row>
    <row r="261" ht="15.75" customHeight="1">
      <c r="A261" s="219" t="str">
        <f>'High Risk Non-Compliant'!B217</f>
        <v>VULN-09</v>
      </c>
      <c r="B261" s="220" t="str">
        <f>'High Risk Non-Compliant'!C217</f>
        <v>Will you allow the institution to perform its own security testing of your systems and/or application provided that testing is performed at a mutually agreed upon time and date?</v>
      </c>
      <c r="C261" s="3"/>
      <c r="D261" s="220" t="str">
        <f>'High Risk Non-Compliant'!D217</f>
        <v>Clients may run tests on chatbot to test for vulnerabilities</v>
      </c>
      <c r="E261" s="2"/>
      <c r="F261" s="3"/>
      <c r="G261" s="111"/>
      <c r="H261" s="111"/>
      <c r="I261" s="32"/>
      <c r="J261" s="32"/>
      <c r="K261" s="32"/>
      <c r="L261" s="32"/>
      <c r="M261" s="32"/>
      <c r="N261" s="32"/>
      <c r="O261" s="32"/>
      <c r="P261" s="32"/>
      <c r="Q261" s="32"/>
      <c r="R261" s="32"/>
      <c r="S261" s="32"/>
      <c r="T261" s="32"/>
      <c r="U261" s="32"/>
      <c r="V261" s="32"/>
      <c r="W261" s="32"/>
      <c r="X261" s="32"/>
      <c r="Y261" s="32"/>
      <c r="Z261" s="32"/>
    </row>
    <row r="262" ht="15.75" customHeight="1">
      <c r="A262" s="219" t="str">
        <f>'High Risk Non-Compliant'!B218</f>
        <v>HIPA-01</v>
      </c>
      <c r="B262" s="220" t="str">
        <f>'High Risk Non-Compliant'!C218</f>
        <v>Do your workforce members receive regular training related to the HIPAA Privacy and Security Rules and the HITECH Act?</v>
      </c>
      <c r="C262" s="3"/>
      <c r="D262" s="220" t="str">
        <f>'High Risk Non-Compliant'!D218</f>
        <v/>
      </c>
      <c r="E262" s="2"/>
      <c r="F262" s="3"/>
      <c r="G262" s="111"/>
      <c r="H262" s="111"/>
      <c r="I262" s="32"/>
      <c r="J262" s="32"/>
      <c r="K262" s="32"/>
      <c r="L262" s="32"/>
      <c r="M262" s="32"/>
      <c r="N262" s="32"/>
      <c r="O262" s="32"/>
      <c r="P262" s="32"/>
      <c r="Q262" s="32"/>
      <c r="R262" s="32"/>
      <c r="S262" s="32"/>
      <c r="T262" s="32"/>
      <c r="U262" s="32"/>
      <c r="V262" s="32"/>
      <c r="W262" s="32"/>
      <c r="X262" s="32"/>
      <c r="Y262" s="32"/>
      <c r="Z262" s="32"/>
    </row>
    <row r="263" ht="15.75" customHeight="1">
      <c r="A263" s="219" t="str">
        <f>'High Risk Non-Compliant'!B219</f>
        <v>HIPA-02</v>
      </c>
      <c r="B263" s="220" t="str">
        <f>'High Risk Non-Compliant'!C219</f>
        <v>Do you monitor or receive information regarding changes in HIPAA regulations?</v>
      </c>
      <c r="C263" s="3"/>
      <c r="D263" s="220" t="str">
        <f>'High Risk Non-Compliant'!D219</f>
        <v/>
      </c>
      <c r="E263" s="2"/>
      <c r="F263" s="3"/>
      <c r="G263" s="111"/>
      <c r="H263" s="111"/>
      <c r="I263" s="32"/>
      <c r="J263" s="32"/>
      <c r="K263" s="32"/>
      <c r="L263" s="32"/>
      <c r="M263" s="32"/>
      <c r="N263" s="32"/>
      <c r="O263" s="32"/>
      <c r="P263" s="32"/>
      <c r="Q263" s="32"/>
      <c r="R263" s="32"/>
      <c r="S263" s="32"/>
      <c r="T263" s="32"/>
      <c r="U263" s="32"/>
      <c r="V263" s="32"/>
      <c r="W263" s="32"/>
      <c r="X263" s="32"/>
      <c r="Y263" s="32"/>
      <c r="Z263" s="32"/>
    </row>
    <row r="264" ht="15.75" customHeight="1">
      <c r="A264" s="219" t="str">
        <f>'High Risk Non-Compliant'!B220</f>
        <v>HIPA-03</v>
      </c>
      <c r="B264" s="220" t="str">
        <f>'High Risk Non-Compliant'!C220</f>
        <v>Has your organization designated HIPAA Privacy and Security officers as required by the Rules?</v>
      </c>
      <c r="C264" s="3"/>
      <c r="D264" s="220" t="str">
        <f>'High Risk Non-Compliant'!D220</f>
        <v/>
      </c>
      <c r="E264" s="2"/>
      <c r="F264" s="3"/>
      <c r="G264" s="111"/>
      <c r="H264" s="111"/>
      <c r="I264" s="32"/>
      <c r="J264" s="32"/>
      <c r="K264" s="32"/>
      <c r="L264" s="32"/>
      <c r="M264" s="32"/>
      <c r="N264" s="32"/>
      <c r="O264" s="32"/>
      <c r="P264" s="32"/>
      <c r="Q264" s="32"/>
      <c r="R264" s="32"/>
      <c r="S264" s="32"/>
      <c r="T264" s="32"/>
      <c r="U264" s="32"/>
      <c r="V264" s="32"/>
      <c r="W264" s="32"/>
      <c r="X264" s="32"/>
      <c r="Y264" s="32"/>
      <c r="Z264" s="32"/>
    </row>
    <row r="265" ht="58.5" customHeight="1">
      <c r="A265" s="219" t="str">
        <f>'High Risk Non-Compliant'!B221</f>
        <v>HIPA-04</v>
      </c>
      <c r="B265" s="220" t="str">
        <f>'High Risk Non-Compliant'!C221</f>
        <v>Do you comply with the requirements of the Health Information Technology for Economic and Clinical Health Act (HITECH)?</v>
      </c>
      <c r="C265" s="3"/>
      <c r="D265" s="220" t="str">
        <f>'High Risk Non-Compliant'!D221</f>
        <v/>
      </c>
      <c r="E265" s="2"/>
      <c r="F265" s="3"/>
      <c r="G265" s="111"/>
      <c r="H265" s="111"/>
      <c r="I265" s="32"/>
      <c r="J265" s="32"/>
      <c r="K265" s="32"/>
      <c r="L265" s="32"/>
      <c r="M265" s="32"/>
      <c r="N265" s="32"/>
      <c r="O265" s="32"/>
      <c r="P265" s="32"/>
      <c r="Q265" s="32"/>
      <c r="R265" s="32"/>
      <c r="S265" s="32"/>
      <c r="T265" s="32"/>
      <c r="U265" s="32"/>
      <c r="V265" s="32"/>
      <c r="W265" s="32"/>
      <c r="X265" s="32"/>
      <c r="Y265" s="32"/>
      <c r="Z265" s="32"/>
    </row>
    <row r="266" ht="58.5" customHeight="1">
      <c r="A266" s="219" t="str">
        <f>'High Risk Non-Compliant'!B222</f>
        <v>HIPA-05</v>
      </c>
      <c r="B266" s="220" t="str">
        <f>'High Risk Non-Compliant'!C222</f>
        <v>Do you have an incident response process and reporting in place to investigate any potential incidents and report actual incidents?</v>
      </c>
      <c r="C266" s="3"/>
      <c r="D266" s="220" t="str">
        <f>'High Risk Non-Compliant'!D222</f>
        <v/>
      </c>
      <c r="E266" s="2"/>
      <c r="F266" s="3"/>
      <c r="G266" s="111"/>
      <c r="H266" s="111"/>
      <c r="I266" s="32"/>
      <c r="J266" s="32"/>
      <c r="K266" s="32"/>
      <c r="L266" s="32"/>
      <c r="M266" s="32"/>
      <c r="N266" s="32"/>
      <c r="O266" s="32"/>
      <c r="P266" s="32"/>
      <c r="Q266" s="32"/>
      <c r="R266" s="32"/>
      <c r="S266" s="32"/>
      <c r="T266" s="32"/>
      <c r="U266" s="32"/>
      <c r="V266" s="32"/>
      <c r="W266" s="32"/>
      <c r="X266" s="32"/>
      <c r="Y266" s="32"/>
      <c r="Z266" s="32"/>
    </row>
    <row r="267" ht="58.5" customHeight="1">
      <c r="A267" s="219" t="str">
        <f>'High Risk Non-Compliant'!B223</f>
        <v>HIPA-06</v>
      </c>
      <c r="B267" s="220" t="str">
        <f>'High Risk Non-Compliant'!C223</f>
        <v>Do you have a plan to comply with the Breach Notification requirements if there is a breach of data?</v>
      </c>
      <c r="C267" s="3"/>
      <c r="D267" s="220" t="str">
        <f>'High Risk Non-Compliant'!D223</f>
        <v/>
      </c>
      <c r="E267" s="2"/>
      <c r="F267" s="3"/>
      <c r="G267" s="111"/>
      <c r="H267" s="111"/>
      <c r="I267" s="32"/>
      <c r="J267" s="32"/>
      <c r="K267" s="32"/>
      <c r="L267" s="32"/>
      <c r="M267" s="32"/>
      <c r="N267" s="32"/>
      <c r="O267" s="32"/>
      <c r="P267" s="32"/>
      <c r="Q267" s="32"/>
      <c r="R267" s="32"/>
      <c r="S267" s="32"/>
      <c r="T267" s="32"/>
      <c r="U267" s="32"/>
      <c r="V267" s="32"/>
      <c r="W267" s="32"/>
      <c r="X267" s="32"/>
      <c r="Y267" s="32"/>
      <c r="Z267" s="32"/>
    </row>
    <row r="268" ht="58.5" customHeight="1">
      <c r="A268" s="219" t="str">
        <f>'High Risk Non-Compliant'!B224</f>
        <v>HIPA-07</v>
      </c>
      <c r="B268" s="220" t="str">
        <f>'High Risk Non-Compliant'!C224</f>
        <v>Have you conducted a risk analysis as required under the Security Rule?</v>
      </c>
      <c r="C268" s="3"/>
      <c r="D268" s="220" t="str">
        <f>'High Risk Non-Compliant'!D224</f>
        <v/>
      </c>
      <c r="E268" s="2"/>
      <c r="F268" s="3"/>
      <c r="G268" s="111"/>
      <c r="H268" s="111"/>
      <c r="I268" s="32"/>
      <c r="J268" s="32"/>
      <c r="K268" s="32"/>
      <c r="L268" s="32"/>
      <c r="M268" s="32"/>
      <c r="N268" s="32"/>
      <c r="O268" s="32"/>
      <c r="P268" s="32"/>
      <c r="Q268" s="32"/>
      <c r="R268" s="32"/>
      <c r="S268" s="32"/>
      <c r="T268" s="32"/>
      <c r="U268" s="32"/>
      <c r="V268" s="32"/>
      <c r="W268" s="32"/>
      <c r="X268" s="32"/>
      <c r="Y268" s="32"/>
      <c r="Z268" s="32"/>
    </row>
    <row r="269" ht="58.5" customHeight="1">
      <c r="A269" s="219" t="str">
        <f>'High Risk Non-Compliant'!B225</f>
        <v>HIPA-08</v>
      </c>
      <c r="B269" s="220" t="str">
        <f>'High Risk Non-Compliant'!C225</f>
        <v>Have you identified areas of risks?</v>
      </c>
      <c r="C269" s="3"/>
      <c r="D269" s="220" t="str">
        <f>'High Risk Non-Compliant'!D225</f>
        <v/>
      </c>
      <c r="E269" s="2"/>
      <c r="F269" s="3"/>
      <c r="G269" s="111"/>
      <c r="H269" s="111"/>
      <c r="I269" s="32"/>
      <c r="J269" s="32"/>
      <c r="K269" s="32"/>
      <c r="L269" s="32"/>
      <c r="M269" s="32"/>
      <c r="N269" s="32"/>
      <c r="O269" s="32"/>
      <c r="P269" s="32"/>
      <c r="Q269" s="32"/>
      <c r="R269" s="32"/>
      <c r="S269" s="32"/>
      <c r="T269" s="32"/>
      <c r="U269" s="32"/>
      <c r="V269" s="32"/>
      <c r="W269" s="32"/>
      <c r="X269" s="32"/>
      <c r="Y269" s="32"/>
      <c r="Z269" s="32"/>
    </row>
    <row r="270" ht="58.5" customHeight="1">
      <c r="A270" s="219" t="str">
        <f>'High Risk Non-Compliant'!B226</f>
        <v>HIPA-09</v>
      </c>
      <c r="B270" s="220" t="str">
        <f>'High Risk Non-Compliant'!C226</f>
        <v>Have you taken actions to mitigate the identified risks?</v>
      </c>
      <c r="C270" s="3"/>
      <c r="D270" s="220" t="str">
        <f>'High Risk Non-Compliant'!D226</f>
        <v/>
      </c>
      <c r="E270" s="2"/>
      <c r="F270" s="3"/>
      <c r="G270" s="111"/>
      <c r="H270" s="111"/>
      <c r="I270" s="32"/>
      <c r="J270" s="32"/>
      <c r="K270" s="32"/>
      <c r="L270" s="32"/>
      <c r="M270" s="32"/>
      <c r="N270" s="32"/>
      <c r="O270" s="32"/>
      <c r="P270" s="32"/>
      <c r="Q270" s="32"/>
      <c r="R270" s="32"/>
      <c r="S270" s="32"/>
      <c r="T270" s="32"/>
      <c r="U270" s="32"/>
      <c r="V270" s="32"/>
      <c r="W270" s="32"/>
      <c r="X270" s="32"/>
      <c r="Y270" s="32"/>
      <c r="Z270" s="32"/>
    </row>
    <row r="271" ht="58.5" customHeight="1">
      <c r="A271" s="219" t="str">
        <f>'High Risk Non-Compliant'!B227</f>
        <v>HIPA-10</v>
      </c>
      <c r="B271" s="220" t="str">
        <f>'High Risk Non-Compliant'!C227</f>
        <v>Does your application require user and system administrator password changes at a frequency no greater than 90 days?</v>
      </c>
      <c r="C271" s="3"/>
      <c r="D271" s="220" t="str">
        <f>'High Risk Non-Compliant'!D227</f>
        <v/>
      </c>
      <c r="E271" s="2"/>
      <c r="F271" s="3"/>
      <c r="G271" s="111"/>
      <c r="H271" s="111"/>
      <c r="I271" s="32"/>
      <c r="J271" s="32"/>
      <c r="K271" s="32"/>
      <c r="L271" s="32"/>
      <c r="M271" s="32"/>
      <c r="N271" s="32"/>
      <c r="O271" s="32"/>
      <c r="P271" s="32"/>
      <c r="Q271" s="32"/>
      <c r="R271" s="32"/>
      <c r="S271" s="32"/>
      <c r="T271" s="32"/>
      <c r="U271" s="32"/>
      <c r="V271" s="32"/>
      <c r="W271" s="32"/>
      <c r="X271" s="32"/>
      <c r="Y271" s="32"/>
      <c r="Z271" s="32"/>
    </row>
    <row r="272" ht="15.75" customHeight="1">
      <c r="A272" s="219" t="str">
        <f>'High Risk Non-Compliant'!B228</f>
        <v>HIPA-11</v>
      </c>
      <c r="B272" s="220" t="str">
        <f>'High Risk Non-Compliant'!C228</f>
        <v>Does your application require a user to set their own password after an administrator reset or on first use of the account?</v>
      </c>
      <c r="C272" s="3"/>
      <c r="D272" s="220" t="str">
        <f>'High Risk Non-Compliant'!D228</f>
        <v/>
      </c>
      <c r="E272" s="2"/>
      <c r="F272" s="3"/>
      <c r="G272" s="111"/>
      <c r="H272" s="111"/>
      <c r="I272" s="32"/>
      <c r="J272" s="32"/>
      <c r="K272" s="32"/>
      <c r="L272" s="32"/>
      <c r="M272" s="32"/>
      <c r="N272" s="32"/>
      <c r="O272" s="32"/>
      <c r="P272" s="32"/>
      <c r="Q272" s="32"/>
      <c r="R272" s="32"/>
      <c r="S272" s="32"/>
      <c r="T272" s="32"/>
      <c r="U272" s="32"/>
      <c r="V272" s="32"/>
      <c r="W272" s="32"/>
      <c r="X272" s="32"/>
      <c r="Y272" s="32"/>
      <c r="Z272" s="32"/>
    </row>
    <row r="273" ht="15.75" customHeight="1">
      <c r="A273" s="219" t="str">
        <f>'High Risk Non-Compliant'!B229</f>
        <v>HIPA-12</v>
      </c>
      <c r="B273" s="220" t="str">
        <f>'High Risk Non-Compliant'!C229</f>
        <v>Does your application lock-out an account after a number of failed login attempts? </v>
      </c>
      <c r="C273" s="3"/>
      <c r="D273" s="220" t="str">
        <f>'High Risk Non-Compliant'!D229</f>
        <v/>
      </c>
      <c r="E273" s="2"/>
      <c r="F273" s="3"/>
      <c r="G273" s="111"/>
      <c r="H273" s="111"/>
      <c r="I273" s="32"/>
      <c r="J273" s="32"/>
      <c r="K273" s="32"/>
      <c r="L273" s="32"/>
      <c r="M273" s="32"/>
      <c r="N273" s="32"/>
      <c r="O273" s="32"/>
      <c r="P273" s="32"/>
      <c r="Q273" s="32"/>
      <c r="R273" s="32"/>
      <c r="S273" s="32"/>
      <c r="T273" s="32"/>
      <c r="U273" s="32"/>
      <c r="V273" s="32"/>
      <c r="W273" s="32"/>
      <c r="X273" s="32"/>
      <c r="Y273" s="32"/>
      <c r="Z273" s="32"/>
    </row>
    <row r="274" ht="15.75" customHeight="1">
      <c r="A274" s="219" t="str">
        <f>'High Risk Non-Compliant'!B230</f>
        <v>HIPA-13</v>
      </c>
      <c r="B274" s="220" t="str">
        <f>'High Risk Non-Compliant'!C230</f>
        <v>Does your application automatically lock or log-out an account after a period of inactivity?</v>
      </c>
      <c r="C274" s="3"/>
      <c r="D274" s="220" t="str">
        <f>'High Risk Non-Compliant'!D230</f>
        <v/>
      </c>
      <c r="E274" s="2"/>
      <c r="F274" s="3"/>
      <c r="G274" s="111"/>
      <c r="H274" s="111"/>
      <c r="I274" s="32"/>
      <c r="J274" s="32"/>
      <c r="K274" s="32"/>
      <c r="L274" s="32"/>
      <c r="M274" s="32"/>
      <c r="N274" s="32"/>
      <c r="O274" s="32"/>
      <c r="P274" s="32"/>
      <c r="Q274" s="32"/>
      <c r="R274" s="32"/>
      <c r="S274" s="32"/>
      <c r="T274" s="32"/>
      <c r="U274" s="32"/>
      <c r="V274" s="32"/>
      <c r="W274" s="32"/>
      <c r="X274" s="32"/>
      <c r="Y274" s="32"/>
      <c r="Z274" s="32"/>
    </row>
    <row r="275" ht="43.5" customHeight="1">
      <c r="A275" s="219" t="str">
        <f>'High Risk Non-Compliant'!B231</f>
        <v>HIPA-14</v>
      </c>
      <c r="B275" s="220" t="str">
        <f>'High Risk Non-Compliant'!C231</f>
        <v>Are passwords visible in plain text, whether when stored or entered, including service level accounts (i.e. database accounts, etc.)?</v>
      </c>
      <c r="C275" s="3"/>
      <c r="D275" s="220" t="str">
        <f>'High Risk Non-Compliant'!D231</f>
        <v/>
      </c>
      <c r="E275" s="2"/>
      <c r="F275" s="3"/>
      <c r="G275" s="111"/>
      <c r="H275" s="111"/>
      <c r="I275" s="32"/>
      <c r="J275" s="32"/>
      <c r="K275" s="32"/>
      <c r="L275" s="32"/>
      <c r="M275" s="32"/>
      <c r="N275" s="32"/>
      <c r="O275" s="32"/>
      <c r="P275" s="32"/>
      <c r="Q275" s="32"/>
      <c r="R275" s="32"/>
      <c r="S275" s="32"/>
      <c r="T275" s="32"/>
      <c r="U275" s="32"/>
      <c r="V275" s="32"/>
      <c r="W275" s="32"/>
      <c r="X275" s="32"/>
      <c r="Y275" s="32"/>
      <c r="Z275" s="32"/>
    </row>
    <row r="276" ht="43.5" customHeight="1">
      <c r="A276" s="219" t="str">
        <f>'High Risk Non-Compliant'!B232</f>
        <v>HIPA-15</v>
      </c>
      <c r="B276" s="220" t="str">
        <f>'High Risk Non-Compliant'!C232</f>
        <v>If the application is institution-hosted, can all service level and administrative account passwords be changed by the institution?</v>
      </c>
      <c r="C276" s="3"/>
      <c r="D276" s="220" t="str">
        <f>'High Risk Non-Compliant'!D232</f>
        <v/>
      </c>
      <c r="E276" s="2"/>
      <c r="F276" s="3"/>
      <c r="G276" s="111"/>
      <c r="H276" s="111"/>
      <c r="I276" s="32"/>
      <c r="J276" s="32"/>
      <c r="K276" s="32"/>
      <c r="L276" s="32"/>
      <c r="M276" s="32"/>
      <c r="N276" s="32"/>
      <c r="O276" s="32"/>
      <c r="P276" s="32"/>
      <c r="Q276" s="32"/>
      <c r="R276" s="32"/>
      <c r="S276" s="32"/>
      <c r="T276" s="32"/>
      <c r="U276" s="32"/>
      <c r="V276" s="32"/>
      <c r="W276" s="32"/>
      <c r="X276" s="32"/>
      <c r="Y276" s="32"/>
      <c r="Z276" s="32"/>
    </row>
    <row r="277" ht="43.5" customHeight="1">
      <c r="A277" s="219" t="str">
        <f>'High Risk Non-Compliant'!B233</f>
        <v>HIPA-16</v>
      </c>
      <c r="B277" s="220" t="str">
        <f>'High Risk Non-Compliant'!C233</f>
        <v>Does your application provide the ability to define user access levels?</v>
      </c>
      <c r="C277" s="3"/>
      <c r="D277" s="220" t="str">
        <f>'High Risk Non-Compliant'!D233</f>
        <v/>
      </c>
      <c r="E277" s="2"/>
      <c r="F277" s="3"/>
      <c r="G277" s="111"/>
      <c r="H277" s="111"/>
      <c r="I277" s="32"/>
      <c r="J277" s="32"/>
      <c r="K277" s="32"/>
      <c r="L277" s="32"/>
      <c r="M277" s="32"/>
      <c r="N277" s="32"/>
      <c r="O277" s="32"/>
      <c r="P277" s="32"/>
      <c r="Q277" s="32"/>
      <c r="R277" s="32"/>
      <c r="S277" s="32"/>
      <c r="T277" s="32"/>
      <c r="U277" s="32"/>
      <c r="V277" s="32"/>
      <c r="W277" s="32"/>
      <c r="X277" s="32"/>
      <c r="Y277" s="32"/>
      <c r="Z277" s="32"/>
    </row>
    <row r="278" ht="43.5" customHeight="1">
      <c r="A278" s="219" t="str">
        <f>'High Risk Non-Compliant'!B234</f>
        <v>HIPA-17</v>
      </c>
      <c r="B278" s="220" t="str">
        <f>'High Risk Non-Compliant'!C234</f>
        <v>Does your application support varying levels of access to administrative tasks defined individually per user?</v>
      </c>
      <c r="C278" s="3"/>
      <c r="D278" s="220" t="str">
        <f>'High Risk Non-Compliant'!D234</f>
        <v/>
      </c>
      <c r="E278" s="2"/>
      <c r="F278" s="3"/>
      <c r="G278" s="111"/>
      <c r="H278" s="111"/>
      <c r="I278" s="32"/>
      <c r="J278" s="32"/>
      <c r="K278" s="32"/>
      <c r="L278" s="32"/>
      <c r="M278" s="32"/>
      <c r="N278" s="32"/>
      <c r="O278" s="32"/>
      <c r="P278" s="32"/>
      <c r="Q278" s="32"/>
      <c r="R278" s="32"/>
      <c r="S278" s="32"/>
      <c r="T278" s="32"/>
      <c r="U278" s="32"/>
      <c r="V278" s="32"/>
      <c r="W278" s="32"/>
      <c r="X278" s="32"/>
      <c r="Y278" s="32"/>
      <c r="Z278" s="32"/>
    </row>
    <row r="279" ht="43.5" customHeight="1">
      <c r="A279" s="219" t="str">
        <f>'High Risk Non-Compliant'!B235</f>
        <v>HIPA-18</v>
      </c>
      <c r="B279" s="220" t="str">
        <f>'High Risk Non-Compliant'!C235</f>
        <v>Does your application support varying levels of access to records based on user ID?</v>
      </c>
      <c r="C279" s="3"/>
      <c r="D279" s="220" t="str">
        <f>'High Risk Non-Compliant'!D235</f>
        <v/>
      </c>
      <c r="E279" s="2"/>
      <c r="F279" s="3"/>
      <c r="G279" s="111"/>
      <c r="H279" s="111"/>
      <c r="I279" s="32"/>
      <c r="J279" s="32"/>
      <c r="K279" s="32"/>
      <c r="L279" s="32"/>
      <c r="M279" s="32"/>
      <c r="N279" s="32"/>
      <c r="O279" s="32"/>
      <c r="P279" s="32"/>
      <c r="Q279" s="32"/>
      <c r="R279" s="32"/>
      <c r="S279" s="32"/>
      <c r="T279" s="32"/>
      <c r="U279" s="32"/>
      <c r="V279" s="32"/>
      <c r="W279" s="32"/>
      <c r="X279" s="32"/>
      <c r="Y279" s="32"/>
      <c r="Z279" s="32"/>
    </row>
    <row r="280" ht="43.5" customHeight="1">
      <c r="A280" s="219" t="str">
        <f>'High Risk Non-Compliant'!B236</f>
        <v>HIPA-19</v>
      </c>
      <c r="B280" s="220" t="str">
        <f>'High Risk Non-Compliant'!C236</f>
        <v>Is there a limit to the number of groups a user can be assigned?</v>
      </c>
      <c r="C280" s="3"/>
      <c r="D280" s="220" t="str">
        <f>'High Risk Non-Compliant'!D236</f>
        <v/>
      </c>
      <c r="E280" s="2"/>
      <c r="F280" s="3"/>
      <c r="G280" s="111"/>
      <c r="H280" s="111"/>
      <c r="I280" s="32"/>
      <c r="J280" s="32"/>
      <c r="K280" s="32"/>
      <c r="L280" s="32"/>
      <c r="M280" s="32"/>
      <c r="N280" s="32"/>
      <c r="O280" s="32"/>
      <c r="P280" s="32"/>
      <c r="Q280" s="32"/>
      <c r="R280" s="32"/>
      <c r="S280" s="32"/>
      <c r="T280" s="32"/>
      <c r="U280" s="32"/>
      <c r="V280" s="32"/>
      <c r="W280" s="32"/>
      <c r="X280" s="32"/>
      <c r="Y280" s="32"/>
      <c r="Z280" s="32"/>
    </row>
    <row r="281" ht="43.5" customHeight="1">
      <c r="A281" s="219" t="str">
        <f>'High Risk Non-Compliant'!B237</f>
        <v>HIPA-20</v>
      </c>
      <c r="B281" s="220" t="str">
        <f>'High Risk Non-Compliant'!C237</f>
        <v>Do accounts used for vendor supplied remote support abide by the same authentication policies and access logging as the rest of the system?</v>
      </c>
      <c r="C281" s="3"/>
      <c r="D281" s="220" t="str">
        <f>'High Risk Non-Compliant'!D237</f>
        <v/>
      </c>
      <c r="E281" s="2"/>
      <c r="F281" s="3"/>
      <c r="G281" s="111"/>
      <c r="H281" s="111"/>
      <c r="I281" s="32"/>
      <c r="J281" s="32"/>
      <c r="K281" s="32"/>
      <c r="L281" s="32"/>
      <c r="M281" s="32"/>
      <c r="N281" s="32"/>
      <c r="O281" s="32"/>
      <c r="P281" s="32"/>
      <c r="Q281" s="32"/>
      <c r="R281" s="32"/>
      <c r="S281" s="32"/>
      <c r="T281" s="32"/>
      <c r="U281" s="32"/>
      <c r="V281" s="32"/>
      <c r="W281" s="32"/>
      <c r="X281" s="32"/>
      <c r="Y281" s="32"/>
      <c r="Z281" s="32"/>
    </row>
    <row r="282" ht="29.25" customHeight="1">
      <c r="A282" s="219" t="str">
        <f>'High Risk Non-Compliant'!B238</f>
        <v>HIPA-21</v>
      </c>
      <c r="B282" s="220" t="str">
        <f>'High Risk Non-Compliant'!C238</f>
        <v>Does the application log record access including specific user, date/time of access, and originating IP or device? </v>
      </c>
      <c r="C282" s="3"/>
      <c r="D282" s="220" t="str">
        <f>'High Risk Non-Compliant'!D238</f>
        <v/>
      </c>
      <c r="E282" s="2"/>
      <c r="F282" s="3"/>
      <c r="G282" s="111"/>
      <c r="H282" s="111"/>
      <c r="I282" s="32"/>
      <c r="J282" s="32"/>
      <c r="K282" s="32"/>
      <c r="L282" s="32"/>
      <c r="M282" s="32"/>
      <c r="N282" s="32"/>
      <c r="O282" s="32"/>
      <c r="P282" s="32"/>
      <c r="Q282" s="32"/>
      <c r="R282" s="32"/>
      <c r="S282" s="32"/>
      <c r="T282" s="32"/>
      <c r="U282" s="32"/>
      <c r="V282" s="32"/>
      <c r="W282" s="32"/>
      <c r="X282" s="32"/>
      <c r="Y282" s="32"/>
      <c r="Z282" s="32"/>
    </row>
    <row r="283" ht="29.25" customHeight="1">
      <c r="A283" s="219" t="str">
        <f>'High Risk Non-Compliant'!B239</f>
        <v>HIPA-22</v>
      </c>
      <c r="B283" s="220" t="str">
        <f>'High Risk Non-Compliant'!C239</f>
        <v>Does the application log administrative activity, such user account access changes and password changes, including specific user, date/time of changes, and originating IP or device?</v>
      </c>
      <c r="C283" s="3"/>
      <c r="D283" s="220" t="str">
        <f>'High Risk Non-Compliant'!D239</f>
        <v/>
      </c>
      <c r="E283" s="2"/>
      <c r="F283" s="3"/>
      <c r="G283" s="111"/>
      <c r="H283" s="111"/>
      <c r="I283" s="32"/>
      <c r="J283" s="32"/>
      <c r="K283" s="32"/>
      <c r="L283" s="32"/>
      <c r="M283" s="32"/>
      <c r="N283" s="32"/>
      <c r="O283" s="32"/>
      <c r="P283" s="32"/>
      <c r="Q283" s="32"/>
      <c r="R283" s="32"/>
      <c r="S283" s="32"/>
      <c r="T283" s="32"/>
      <c r="U283" s="32"/>
      <c r="V283" s="32"/>
      <c r="W283" s="32"/>
      <c r="X283" s="32"/>
      <c r="Y283" s="32"/>
      <c r="Z283" s="32"/>
    </row>
    <row r="284" ht="29.25" customHeight="1">
      <c r="A284" s="219" t="str">
        <f>'High Risk Non-Compliant'!B240</f>
        <v>HIPA-23</v>
      </c>
      <c r="B284" s="220" t="str">
        <f>'High Risk Non-Compliant'!C240</f>
        <v>How long does the application keep access/change logs?</v>
      </c>
      <c r="C284" s="3"/>
      <c r="D284" s="220" t="str">
        <f>'High Risk Non-Compliant'!D240</f>
        <v/>
      </c>
      <c r="E284" s="2"/>
      <c r="F284" s="3"/>
      <c r="G284" s="111"/>
      <c r="H284" s="111"/>
      <c r="I284" s="32"/>
      <c r="J284" s="32"/>
      <c r="K284" s="32"/>
      <c r="L284" s="32"/>
      <c r="M284" s="32"/>
      <c r="N284" s="32"/>
      <c r="O284" s="32"/>
      <c r="P284" s="32"/>
      <c r="Q284" s="32"/>
      <c r="R284" s="32"/>
      <c r="S284" s="32"/>
      <c r="T284" s="32"/>
      <c r="U284" s="32"/>
      <c r="V284" s="32"/>
      <c r="W284" s="32"/>
      <c r="X284" s="32"/>
      <c r="Y284" s="32"/>
      <c r="Z284" s="32"/>
    </row>
    <row r="285" ht="15.75" customHeight="1">
      <c r="A285" s="219" t="str">
        <f>'High Risk Non-Compliant'!B241</f>
        <v>HIPA-24</v>
      </c>
      <c r="B285" s="220" t="str">
        <f>'High Risk Non-Compliant'!C241</f>
        <v>Can the application logs be archived? </v>
      </c>
      <c r="C285" s="3"/>
      <c r="D285" s="220" t="str">
        <f>'High Risk Non-Compliant'!D241</f>
        <v/>
      </c>
      <c r="E285" s="2"/>
      <c r="F285" s="3"/>
      <c r="G285" s="111"/>
      <c r="H285" s="111"/>
      <c r="I285" s="32"/>
      <c r="J285" s="32"/>
      <c r="K285" s="32"/>
      <c r="L285" s="32"/>
      <c r="M285" s="32"/>
      <c r="N285" s="32"/>
      <c r="O285" s="32"/>
      <c r="P285" s="32"/>
      <c r="Q285" s="32"/>
      <c r="R285" s="32"/>
      <c r="S285" s="32"/>
      <c r="T285" s="32"/>
      <c r="U285" s="32"/>
      <c r="V285" s="32"/>
      <c r="W285" s="32"/>
      <c r="X285" s="32"/>
      <c r="Y285" s="32"/>
      <c r="Z285" s="32"/>
    </row>
    <row r="286" ht="15.75" customHeight="1">
      <c r="A286" s="219" t="str">
        <f>'High Risk Non-Compliant'!B242</f>
        <v>HIPA-25</v>
      </c>
      <c r="B286" s="220" t="str">
        <f>'High Risk Non-Compliant'!C242</f>
        <v>Can the application logs be saved externally? </v>
      </c>
      <c r="C286" s="3"/>
      <c r="D286" s="220" t="str">
        <f>'High Risk Non-Compliant'!D242</f>
        <v/>
      </c>
      <c r="E286" s="2"/>
      <c r="F286" s="3"/>
      <c r="G286" s="111"/>
      <c r="H286" s="111"/>
      <c r="I286" s="32"/>
      <c r="J286" s="32"/>
      <c r="K286" s="32"/>
      <c r="L286" s="32"/>
      <c r="M286" s="32"/>
      <c r="N286" s="32"/>
      <c r="O286" s="32"/>
      <c r="P286" s="32"/>
      <c r="Q286" s="32"/>
      <c r="R286" s="32"/>
      <c r="S286" s="32"/>
      <c r="T286" s="32"/>
      <c r="U286" s="32"/>
      <c r="V286" s="32"/>
      <c r="W286" s="32"/>
      <c r="X286" s="32"/>
      <c r="Y286" s="32"/>
      <c r="Z286" s="32"/>
    </row>
    <row r="287" ht="43.5" customHeight="1">
      <c r="A287" s="219" t="str">
        <f>'High Risk Non-Compliant'!B243</f>
        <v>HIPA-26</v>
      </c>
      <c r="B287" s="220" t="str">
        <f>'High Risk Non-Compliant'!C243</f>
        <v>Does your data backup and retention policies and practices meet HIPAA requirements?</v>
      </c>
      <c r="C287" s="3"/>
      <c r="D287" s="220" t="str">
        <f>'High Risk Non-Compliant'!D243</f>
        <v/>
      </c>
      <c r="E287" s="2"/>
      <c r="F287" s="3"/>
      <c r="G287" s="111"/>
      <c r="H287" s="111"/>
      <c r="I287" s="32"/>
      <c r="J287" s="32"/>
      <c r="K287" s="32"/>
      <c r="L287" s="32"/>
      <c r="M287" s="32"/>
      <c r="N287" s="32"/>
      <c r="O287" s="32"/>
      <c r="P287" s="32"/>
      <c r="Q287" s="32"/>
      <c r="R287" s="32"/>
      <c r="S287" s="32"/>
      <c r="T287" s="32"/>
      <c r="U287" s="32"/>
      <c r="V287" s="32"/>
      <c r="W287" s="32"/>
      <c r="X287" s="32"/>
      <c r="Y287" s="32"/>
      <c r="Z287" s="32"/>
    </row>
    <row r="288" ht="43.5" customHeight="1">
      <c r="A288" s="219" t="str">
        <f>'High Risk Non-Compliant'!B244</f>
        <v>HIPA-27</v>
      </c>
      <c r="B288" s="220" t="str">
        <f>'High Risk Non-Compliant'!C244</f>
        <v>Do you have a disaster recovery plan and emergency mode operation plan?</v>
      </c>
      <c r="C288" s="3"/>
      <c r="D288" s="220" t="str">
        <f>'High Risk Non-Compliant'!D244</f>
        <v/>
      </c>
      <c r="E288" s="2"/>
      <c r="F288" s="3"/>
      <c r="G288" s="111"/>
      <c r="H288" s="111"/>
      <c r="I288" s="32"/>
      <c r="J288" s="32"/>
      <c r="K288" s="32"/>
      <c r="L288" s="32"/>
      <c r="M288" s="32"/>
      <c r="N288" s="32"/>
      <c r="O288" s="32"/>
      <c r="P288" s="32"/>
      <c r="Q288" s="32"/>
      <c r="R288" s="32"/>
      <c r="S288" s="32"/>
      <c r="T288" s="32"/>
      <c r="U288" s="32"/>
      <c r="V288" s="32"/>
      <c r="W288" s="32"/>
      <c r="X288" s="32"/>
      <c r="Y288" s="32"/>
      <c r="Z288" s="32"/>
    </row>
    <row r="289" ht="87.75" customHeight="1">
      <c r="A289" s="219" t="str">
        <f>'High Risk Non-Compliant'!B245</f>
        <v>HIPA-28</v>
      </c>
      <c r="B289" s="220" t="str">
        <f>'High Risk Non-Compliant'!C245</f>
        <v>Have the policies/plans mentioned above been tested?</v>
      </c>
      <c r="C289" s="3"/>
      <c r="D289" s="220" t="str">
        <f>'High Risk Non-Compliant'!D245</f>
        <v/>
      </c>
      <c r="E289" s="2"/>
      <c r="F289" s="3"/>
      <c r="G289" s="111"/>
      <c r="H289" s="111"/>
      <c r="I289" s="32"/>
      <c r="J289" s="32"/>
      <c r="K289" s="32"/>
      <c r="L289" s="32"/>
      <c r="M289" s="32"/>
      <c r="N289" s="32"/>
      <c r="O289" s="32"/>
      <c r="P289" s="32"/>
      <c r="Q289" s="32"/>
      <c r="R289" s="32"/>
      <c r="S289" s="32"/>
      <c r="T289" s="32"/>
      <c r="U289" s="32"/>
      <c r="V289" s="32"/>
      <c r="W289" s="32"/>
      <c r="X289" s="32"/>
      <c r="Y289" s="32"/>
      <c r="Z289" s="32"/>
    </row>
    <row r="290" ht="72.75" customHeight="1">
      <c r="A290" s="219" t="str">
        <f>'High Risk Non-Compliant'!B246</f>
        <v>HIPA-29</v>
      </c>
      <c r="B290" s="220" t="str">
        <f>'High Risk Non-Compliant'!C246</f>
        <v>Can you provide a HIPAA compliance attestation document?</v>
      </c>
      <c r="C290" s="3"/>
      <c r="D290" s="220" t="str">
        <f>'High Risk Non-Compliant'!D246</f>
        <v/>
      </c>
      <c r="E290" s="2"/>
      <c r="F290" s="3"/>
      <c r="G290" s="111"/>
      <c r="H290" s="111"/>
      <c r="I290" s="32"/>
      <c r="J290" s="32"/>
      <c r="K290" s="32"/>
      <c r="L290" s="32"/>
      <c r="M290" s="32"/>
      <c r="N290" s="32"/>
      <c r="O290" s="32"/>
      <c r="P290" s="32"/>
      <c r="Q290" s="32"/>
      <c r="R290" s="32"/>
      <c r="S290" s="32"/>
      <c r="T290" s="32"/>
      <c r="U290" s="32"/>
      <c r="V290" s="32"/>
      <c r="W290" s="32"/>
      <c r="X290" s="32"/>
      <c r="Y290" s="32"/>
      <c r="Z290" s="32"/>
    </row>
    <row r="291" ht="72.75" customHeight="1">
      <c r="A291" s="219" t="str">
        <f>'High Risk Non-Compliant'!B247</f>
        <v>HIPA-30</v>
      </c>
      <c r="B291" s="220" t="str">
        <f>'High Risk Non-Compliant'!C247</f>
        <v>Are you willing to enter into a Business Associate Agreement (BAA)?</v>
      </c>
      <c r="C291" s="3"/>
      <c r="D291" s="220" t="str">
        <f>'High Risk Non-Compliant'!D247</f>
        <v/>
      </c>
      <c r="E291" s="2"/>
      <c r="F291" s="3"/>
      <c r="G291" s="111"/>
      <c r="H291" s="111"/>
      <c r="I291" s="32"/>
      <c r="J291" s="32"/>
      <c r="K291" s="32"/>
      <c r="L291" s="32"/>
      <c r="M291" s="32"/>
      <c r="N291" s="32"/>
      <c r="O291" s="32"/>
      <c r="P291" s="32"/>
      <c r="Q291" s="32"/>
      <c r="R291" s="32"/>
      <c r="S291" s="32"/>
      <c r="T291" s="32"/>
      <c r="U291" s="32"/>
      <c r="V291" s="32"/>
      <c r="W291" s="32"/>
      <c r="X291" s="32"/>
      <c r="Y291" s="32"/>
      <c r="Z291" s="32"/>
    </row>
    <row r="292" ht="43.5" customHeight="1">
      <c r="A292" s="219" t="str">
        <f>'High Risk Non-Compliant'!B248</f>
        <v>HIPA-31</v>
      </c>
      <c r="B292" s="220" t="str">
        <f>'High Risk Non-Compliant'!C248</f>
        <v>Have you entered into a BAA with all subcontractors who may have access to protected health information (PHI)?</v>
      </c>
      <c r="C292" s="3"/>
      <c r="D292" s="220" t="str">
        <f>'High Risk Non-Compliant'!D248</f>
        <v/>
      </c>
      <c r="E292" s="2"/>
      <c r="F292" s="3"/>
      <c r="G292" s="111"/>
      <c r="H292" s="111"/>
      <c r="I292" s="32"/>
      <c r="J292" s="32"/>
      <c r="K292" s="32"/>
      <c r="L292" s="32"/>
      <c r="M292" s="32"/>
      <c r="N292" s="32"/>
      <c r="O292" s="32"/>
      <c r="P292" s="32"/>
      <c r="Q292" s="32"/>
      <c r="R292" s="32"/>
      <c r="S292" s="32"/>
      <c r="T292" s="32"/>
      <c r="U292" s="32"/>
      <c r="V292" s="32"/>
      <c r="W292" s="32"/>
      <c r="X292" s="32"/>
      <c r="Y292" s="32"/>
      <c r="Z292" s="32"/>
    </row>
    <row r="293" ht="29.25" customHeight="1">
      <c r="A293" s="219" t="str">
        <f>'High Risk Non-Compliant'!B249</f>
        <v>PCID-01</v>
      </c>
      <c r="B293" s="220" t="str">
        <f>'High Risk Non-Compliant'!C249</f>
        <v>Do your systems or products store, process, or transmit cardholder (payment/credit/debt card) data?</v>
      </c>
      <c r="C293" s="3"/>
      <c r="D293" s="220" t="str">
        <f>'High Risk Non-Compliant'!D249</f>
        <v/>
      </c>
      <c r="E293" s="2"/>
      <c r="F293" s="3"/>
      <c r="G293" s="111"/>
      <c r="H293" s="111"/>
      <c r="I293" s="32"/>
      <c r="J293" s="32"/>
      <c r="K293" s="32"/>
      <c r="L293" s="32"/>
      <c r="M293" s="32"/>
      <c r="N293" s="32"/>
      <c r="O293" s="32"/>
      <c r="P293" s="32"/>
      <c r="Q293" s="32"/>
      <c r="R293" s="32"/>
      <c r="S293" s="32"/>
      <c r="T293" s="32"/>
      <c r="U293" s="32"/>
      <c r="V293" s="32"/>
      <c r="W293" s="32"/>
      <c r="X293" s="32"/>
      <c r="Y293" s="32"/>
      <c r="Z293" s="32"/>
    </row>
    <row r="294" ht="29.25" customHeight="1">
      <c r="A294" s="219" t="str">
        <f>'High Risk Non-Compliant'!B250</f>
        <v>PCID-02</v>
      </c>
      <c r="B294" s="220" t="str">
        <f>'High Risk Non-Compliant'!C250</f>
        <v>Are you compliant with the Payment Card Industry Data Security Standard (PCI DSS)?</v>
      </c>
      <c r="C294" s="3"/>
      <c r="D294" s="220" t="str">
        <f>'High Risk Non-Compliant'!D250</f>
        <v/>
      </c>
      <c r="E294" s="2"/>
      <c r="F294" s="3"/>
      <c r="G294" s="111"/>
      <c r="H294" s="111"/>
      <c r="I294" s="32"/>
      <c r="J294" s="32"/>
      <c r="K294" s="32"/>
      <c r="L294" s="32"/>
      <c r="M294" s="32"/>
      <c r="N294" s="32"/>
      <c r="O294" s="32"/>
      <c r="P294" s="32"/>
      <c r="Q294" s="32"/>
      <c r="R294" s="32"/>
      <c r="S294" s="32"/>
      <c r="T294" s="32"/>
      <c r="U294" s="32"/>
      <c r="V294" s="32"/>
      <c r="W294" s="32"/>
      <c r="X294" s="32"/>
      <c r="Y294" s="32"/>
      <c r="Z294" s="32"/>
    </row>
    <row r="295" ht="29.25" customHeight="1">
      <c r="A295" s="219" t="str">
        <f>'High Risk Non-Compliant'!B251</f>
        <v>PCID-03</v>
      </c>
      <c r="B295" s="220" t="str">
        <f>'High Risk Non-Compliant'!C251</f>
        <v>Do you have a current, executed within the past year, Attestation of Compliance (AoC) or Report on Compliance (RoC)?</v>
      </c>
      <c r="C295" s="3"/>
      <c r="D295" s="220" t="str">
        <f>'High Risk Non-Compliant'!D251</f>
        <v/>
      </c>
      <c r="E295" s="2"/>
      <c r="F295" s="3"/>
      <c r="G295" s="111"/>
      <c r="H295" s="111"/>
      <c r="I295" s="32"/>
      <c r="J295" s="32"/>
      <c r="K295" s="32"/>
      <c r="L295" s="32"/>
      <c r="M295" s="32"/>
      <c r="N295" s="32"/>
      <c r="O295" s="32"/>
      <c r="P295" s="32"/>
      <c r="Q295" s="32"/>
      <c r="R295" s="32"/>
      <c r="S295" s="32"/>
      <c r="T295" s="32"/>
      <c r="U295" s="32"/>
      <c r="V295" s="32"/>
      <c r="W295" s="32"/>
      <c r="X295" s="32"/>
      <c r="Y295" s="32"/>
      <c r="Z295" s="32"/>
    </row>
    <row r="296" ht="43.5" customHeight="1">
      <c r="A296" s="219" t="str">
        <f>'High Risk Non-Compliant'!B252</f>
        <v>PCID-04</v>
      </c>
      <c r="B296" s="220" t="str">
        <f>'High Risk Non-Compliant'!C252</f>
        <v>Are you classified as a service provider?</v>
      </c>
      <c r="C296" s="3"/>
      <c r="D296" s="220" t="str">
        <f>'High Risk Non-Compliant'!D252</f>
        <v/>
      </c>
      <c r="E296" s="2"/>
      <c r="F296" s="3"/>
      <c r="G296" s="111"/>
      <c r="H296" s="111"/>
      <c r="I296" s="32"/>
      <c r="J296" s="32"/>
      <c r="K296" s="32"/>
      <c r="L296" s="32"/>
      <c r="M296" s="32"/>
      <c r="N296" s="32"/>
      <c r="O296" s="32"/>
      <c r="P296" s="32"/>
      <c r="Q296" s="32"/>
      <c r="R296" s="32"/>
      <c r="S296" s="32"/>
      <c r="T296" s="32"/>
      <c r="U296" s="32"/>
      <c r="V296" s="32"/>
      <c r="W296" s="32"/>
      <c r="X296" s="32"/>
      <c r="Y296" s="32"/>
      <c r="Z296" s="32"/>
    </row>
    <row r="297" ht="29.25" customHeight="1">
      <c r="A297" s="219" t="str">
        <f>'High Risk Non-Compliant'!B253</f>
        <v>PCID-05</v>
      </c>
      <c r="B297" s="220" t="str">
        <f>'High Risk Non-Compliant'!C253</f>
        <v>Are you on the list of VISA approved service providers? </v>
      </c>
      <c r="C297" s="3"/>
      <c r="D297" s="220" t="str">
        <f>'High Risk Non-Compliant'!D253</f>
        <v/>
      </c>
      <c r="E297" s="2"/>
      <c r="F297" s="3"/>
      <c r="G297" s="111"/>
      <c r="H297" s="111"/>
      <c r="I297" s="32"/>
      <c r="J297" s="32"/>
      <c r="K297" s="32"/>
      <c r="L297" s="32"/>
      <c r="M297" s="32"/>
      <c r="N297" s="32"/>
      <c r="O297" s="32"/>
      <c r="P297" s="32"/>
      <c r="Q297" s="32"/>
      <c r="R297" s="32"/>
      <c r="S297" s="32"/>
      <c r="T297" s="32"/>
      <c r="U297" s="32"/>
      <c r="V297" s="32"/>
      <c r="W297" s="32"/>
      <c r="X297" s="32"/>
      <c r="Y297" s="32"/>
      <c r="Z297" s="32"/>
    </row>
    <row r="298" ht="72.75" customHeight="1">
      <c r="A298" s="219" t="str">
        <f>'High Risk Non-Compliant'!B254</f>
        <v>PCID-06</v>
      </c>
      <c r="B298" s="220" t="str">
        <f>'High Risk Non-Compliant'!C254</f>
        <v>Are you classified as a merchant?  If so, what level (1, 2, 3, 4)?</v>
      </c>
      <c r="C298" s="3"/>
      <c r="D298" s="220" t="str">
        <f>'High Risk Non-Compliant'!D254</f>
        <v/>
      </c>
      <c r="E298" s="2"/>
      <c r="F298" s="3"/>
      <c r="G298" s="111"/>
      <c r="H298" s="111"/>
      <c r="I298" s="32"/>
      <c r="J298" s="32"/>
      <c r="K298" s="32"/>
      <c r="L298" s="32"/>
      <c r="M298" s="32"/>
      <c r="N298" s="32"/>
      <c r="O298" s="32"/>
      <c r="P298" s="32"/>
      <c r="Q298" s="32"/>
      <c r="R298" s="32"/>
      <c r="S298" s="32"/>
      <c r="T298" s="32"/>
      <c r="U298" s="32"/>
      <c r="V298" s="32"/>
      <c r="W298" s="32"/>
      <c r="X298" s="32"/>
      <c r="Y298" s="32"/>
      <c r="Z298" s="32"/>
    </row>
    <row r="299" ht="58.5" customHeight="1">
      <c r="A299" s="219" t="str">
        <f>'High Risk Non-Compliant'!B255</f>
        <v>PCID-07</v>
      </c>
      <c r="B299" s="220" t="str">
        <f>'High Risk Non-Compliant'!C255</f>
        <v>Describe the architecture employed by the system to verify and authorize credit card transactions.</v>
      </c>
      <c r="C299" s="3"/>
      <c r="D299" s="220" t="str">
        <f>'High Risk Non-Compliant'!D255</f>
        <v/>
      </c>
      <c r="E299" s="2"/>
      <c r="F299" s="3"/>
      <c r="G299" s="111"/>
      <c r="H299" s="111"/>
      <c r="I299" s="32"/>
      <c r="J299" s="32"/>
      <c r="K299" s="32"/>
      <c r="L299" s="32"/>
      <c r="M299" s="32"/>
      <c r="N299" s="32"/>
      <c r="O299" s="32"/>
      <c r="P299" s="32"/>
      <c r="Q299" s="32"/>
      <c r="R299" s="32"/>
      <c r="S299" s="32"/>
      <c r="T299" s="32"/>
      <c r="U299" s="32"/>
      <c r="V299" s="32"/>
      <c r="W299" s="32"/>
      <c r="X299" s="32"/>
      <c r="Y299" s="32"/>
      <c r="Z299" s="32"/>
    </row>
    <row r="300" ht="72.75" customHeight="1">
      <c r="A300" s="219" t="str">
        <f>'High Risk Non-Compliant'!B256</f>
        <v>PCID-08</v>
      </c>
      <c r="B300" s="220" t="str">
        <f>'High Risk Non-Compliant'!C256</f>
        <v>What payment processors/gateways does the system support? </v>
      </c>
      <c r="C300" s="3"/>
      <c r="D300" s="220" t="str">
        <f>'High Risk Non-Compliant'!D256</f>
        <v/>
      </c>
      <c r="E300" s="2"/>
      <c r="F300" s="3"/>
      <c r="G300" s="111"/>
      <c r="H300" s="111"/>
      <c r="I300" s="32"/>
      <c r="J300" s="32"/>
      <c r="K300" s="32"/>
      <c r="L300" s="32"/>
      <c r="M300" s="32"/>
      <c r="N300" s="32"/>
      <c r="O300" s="32"/>
      <c r="P300" s="32"/>
      <c r="Q300" s="32"/>
      <c r="R300" s="32"/>
      <c r="S300" s="32"/>
      <c r="T300" s="32"/>
      <c r="U300" s="32"/>
      <c r="V300" s="32"/>
      <c r="W300" s="32"/>
      <c r="X300" s="32"/>
      <c r="Y300" s="32"/>
      <c r="Z300" s="32"/>
    </row>
    <row r="301" ht="87.75" customHeight="1">
      <c r="A301" s="219" t="str">
        <f>'High Risk Non-Compliant'!B257</f>
        <v>PCID-09</v>
      </c>
      <c r="B301" s="220" t="str">
        <f>'High Risk Non-Compliant'!C257</f>
        <v>Can the application be installed in a PCI DSS compliant manner ?</v>
      </c>
      <c r="C301" s="3"/>
      <c r="D301" s="220" t="str">
        <f>'High Risk Non-Compliant'!D257</f>
        <v/>
      </c>
      <c r="E301" s="2"/>
      <c r="F301" s="3"/>
      <c r="G301" s="111"/>
      <c r="H301" s="111"/>
      <c r="I301" s="32"/>
      <c r="J301" s="32"/>
      <c r="K301" s="32"/>
      <c r="L301" s="32"/>
      <c r="M301" s="32"/>
      <c r="N301" s="32"/>
      <c r="O301" s="32"/>
      <c r="P301" s="32"/>
      <c r="Q301" s="32"/>
      <c r="R301" s="32"/>
      <c r="S301" s="32"/>
      <c r="T301" s="32"/>
      <c r="U301" s="32"/>
      <c r="V301" s="32"/>
      <c r="W301" s="32"/>
      <c r="X301" s="32"/>
      <c r="Y301" s="32"/>
      <c r="Z301" s="32"/>
    </row>
    <row r="302" ht="29.25" customHeight="1">
      <c r="A302" s="219" t="str">
        <f>'High Risk Non-Compliant'!B258</f>
        <v>PCID-10</v>
      </c>
      <c r="B302" s="220" t="str">
        <f>'High Risk Non-Compliant'!C258</f>
        <v>Is the application listed as an approved PA-DSS application? </v>
      </c>
      <c r="C302" s="3"/>
      <c r="D302" s="220" t="str">
        <f>'High Risk Non-Compliant'!D258</f>
        <v/>
      </c>
      <c r="E302" s="2"/>
      <c r="F302" s="3"/>
      <c r="G302" s="111"/>
      <c r="H302" s="111"/>
      <c r="I302" s="32"/>
      <c r="J302" s="32"/>
      <c r="K302" s="32"/>
      <c r="L302" s="32"/>
      <c r="M302" s="32"/>
      <c r="N302" s="32"/>
      <c r="O302" s="32"/>
      <c r="P302" s="32"/>
      <c r="Q302" s="32"/>
      <c r="R302" s="32"/>
      <c r="S302" s="32"/>
      <c r="T302" s="32"/>
      <c r="U302" s="32"/>
      <c r="V302" s="32"/>
      <c r="W302" s="32"/>
      <c r="X302" s="32"/>
      <c r="Y302" s="32"/>
      <c r="Z302" s="32"/>
    </row>
    <row r="303" ht="29.25" customHeight="1">
      <c r="A303" s="219" t="str">
        <f>'High Risk Non-Compliant'!B259</f>
        <v>PCID-11</v>
      </c>
      <c r="B303" s="220" t="str">
        <f>'High Risk Non-Compliant'!C259</f>
        <v>Does the system or products use a third party to collect, store, process, or transmit cardholder (payment/credit/debt card) data?</v>
      </c>
      <c r="C303" s="3"/>
      <c r="D303" s="220" t="str">
        <f>'High Risk Non-Compliant'!D259</f>
        <v/>
      </c>
      <c r="E303" s="2"/>
      <c r="F303" s="3"/>
      <c r="G303" s="111"/>
      <c r="H303" s="111"/>
      <c r="I303" s="32"/>
      <c r="J303" s="32"/>
      <c r="K303" s="32"/>
      <c r="L303" s="32"/>
      <c r="M303" s="32"/>
      <c r="N303" s="32"/>
      <c r="O303" s="32"/>
      <c r="P303" s="32"/>
      <c r="Q303" s="32"/>
      <c r="R303" s="32"/>
      <c r="S303" s="32"/>
      <c r="T303" s="32"/>
      <c r="U303" s="32"/>
      <c r="V303" s="32"/>
      <c r="W303" s="32"/>
      <c r="X303" s="32"/>
      <c r="Y303" s="32"/>
      <c r="Z303" s="32"/>
    </row>
    <row r="304" ht="29.25" customHeight="1">
      <c r="A304" s="219" t="str">
        <f>'High Risk Non-Compliant'!B260</f>
        <v>PCID-12</v>
      </c>
      <c r="B304" s="220" t="str">
        <f>'High Risk Non-Compliant'!C260</f>
        <v>Include documentation describing the systems' abilities to comply with the PCI DSS and any features or capabilities of the system that must be added or changed in order to operate in compliance with the standards. </v>
      </c>
      <c r="C304" s="3"/>
      <c r="D304" s="220" t="str">
        <f>'High Risk Non-Compliant'!D260</f>
        <v/>
      </c>
      <c r="E304" s="2"/>
      <c r="F304" s="3"/>
      <c r="G304" s="111"/>
      <c r="H304" s="111"/>
      <c r="I304" s="32"/>
      <c r="J304" s="32"/>
      <c r="K304" s="32"/>
      <c r="L304" s="32"/>
      <c r="M304" s="32"/>
      <c r="N304" s="32"/>
      <c r="O304" s="32"/>
      <c r="P304" s="32"/>
      <c r="Q304" s="32"/>
      <c r="R304" s="32"/>
      <c r="S304" s="32"/>
      <c r="T304" s="32"/>
      <c r="U304" s="32"/>
      <c r="V304" s="32"/>
      <c r="W304" s="32"/>
      <c r="X304" s="32"/>
      <c r="Y304" s="32"/>
      <c r="Z304" s="32"/>
    </row>
    <row r="305" ht="29.25" customHeight="1">
      <c r="A305" s="219" t="str">
        <f>'High Risk Non-Compliant'!B261</f>
        <v>COMP-01</v>
      </c>
      <c r="B305" s="220" t="str">
        <f>'High Risk Non-Compliant'!C261</f>
        <v>Describe your organization’s business background and ownership structure, including all parent and subsidiary relationships.</v>
      </c>
      <c r="C305" s="3"/>
      <c r="D305" s="220" t="str">
        <f>'High Risk Non-Compliant'!D261</f>
        <v/>
      </c>
      <c r="E305" s="2"/>
      <c r="F305" s="3"/>
      <c r="G305" s="111"/>
      <c r="H305" s="111"/>
      <c r="I305" s="32"/>
      <c r="J305" s="32"/>
      <c r="K305" s="32"/>
      <c r="L305" s="32"/>
      <c r="M305" s="32"/>
      <c r="N305" s="32"/>
      <c r="O305" s="32"/>
      <c r="P305" s="32"/>
      <c r="Q305" s="32"/>
      <c r="R305" s="32"/>
      <c r="S305" s="32"/>
      <c r="T305" s="32"/>
      <c r="U305" s="32"/>
      <c r="V305" s="32"/>
      <c r="W305" s="32"/>
      <c r="X305" s="32"/>
      <c r="Y305" s="32"/>
      <c r="Z305" s="32"/>
    </row>
    <row r="306" ht="29.25" customHeight="1">
      <c r="A306" s="219" t="str">
        <f>'High Risk Non-Compliant'!B262</f>
        <v>COMP-02</v>
      </c>
      <c r="B306" s="220" t="str">
        <f>'High Risk Non-Compliant'!C262</f>
        <v>Describe how long your organization has conducted business in this product area.</v>
      </c>
      <c r="C306" s="3"/>
      <c r="D306" s="220" t="str">
        <f>'High Risk Non-Compliant'!D262</f>
        <v/>
      </c>
      <c r="E306" s="2"/>
      <c r="F306" s="3"/>
      <c r="G306" s="111"/>
      <c r="H306" s="111"/>
      <c r="I306" s="32"/>
      <c r="J306" s="32"/>
      <c r="K306" s="32"/>
      <c r="L306" s="32"/>
      <c r="M306" s="32"/>
      <c r="N306" s="32"/>
      <c r="O306" s="32"/>
      <c r="P306" s="32"/>
      <c r="Q306" s="32"/>
      <c r="R306" s="32"/>
      <c r="S306" s="32"/>
      <c r="T306" s="32"/>
      <c r="U306" s="32"/>
      <c r="V306" s="32"/>
      <c r="W306" s="32"/>
      <c r="X306" s="32"/>
      <c r="Y306" s="32"/>
      <c r="Z306" s="32"/>
    </row>
    <row r="307" ht="43.5" customHeight="1">
      <c r="A307" s="219" t="str">
        <f>'High Risk Non-Compliant'!B263</f>
        <v>COMP-03</v>
      </c>
      <c r="B307" s="220" t="str">
        <f>'High Risk Non-Compliant'!C263</f>
        <v>Do you have existing higher education customers?</v>
      </c>
      <c r="C307" s="3"/>
      <c r="D307" s="220" t="str">
        <f>'High Risk Non-Compliant'!D263</f>
        <v/>
      </c>
      <c r="E307" s="2"/>
      <c r="F307" s="3"/>
      <c r="G307" s="111"/>
      <c r="H307" s="111"/>
      <c r="I307" s="32"/>
      <c r="J307" s="32"/>
      <c r="K307" s="32"/>
      <c r="L307" s="32"/>
      <c r="M307" s="32"/>
      <c r="N307" s="32"/>
      <c r="O307" s="32"/>
      <c r="P307" s="32"/>
      <c r="Q307" s="32"/>
      <c r="R307" s="32"/>
      <c r="S307" s="32"/>
      <c r="T307" s="32"/>
      <c r="U307" s="32"/>
      <c r="V307" s="32"/>
      <c r="W307" s="32"/>
      <c r="X307" s="32"/>
      <c r="Y307" s="32"/>
      <c r="Z307" s="32"/>
    </row>
    <row r="308" ht="29.25" customHeight="1">
      <c r="A308" s="219" t="str">
        <f>'High Risk Non-Compliant'!B264</f>
        <v>COMP-04</v>
      </c>
      <c r="B308" s="220" t="str">
        <f>'High Risk Non-Compliant'!C264</f>
        <v>Have you had a significant breach in the last 5 years?</v>
      </c>
      <c r="C308" s="3"/>
      <c r="D308" s="220" t="str">
        <f>'High Risk Non-Compliant'!D264</f>
        <v/>
      </c>
      <c r="E308" s="2"/>
      <c r="F308" s="3"/>
      <c r="G308" s="111"/>
      <c r="H308" s="111"/>
      <c r="I308" s="32"/>
      <c r="J308" s="32"/>
      <c r="K308" s="32"/>
      <c r="L308" s="32"/>
      <c r="M308" s="32"/>
      <c r="N308" s="32"/>
      <c r="O308" s="32"/>
      <c r="P308" s="32"/>
      <c r="Q308" s="32"/>
      <c r="R308" s="32"/>
      <c r="S308" s="32"/>
      <c r="T308" s="32"/>
      <c r="U308" s="32"/>
      <c r="V308" s="32"/>
      <c r="W308" s="32"/>
      <c r="X308" s="32"/>
      <c r="Y308" s="32"/>
      <c r="Z308" s="32"/>
    </row>
    <row r="309" ht="15.75" customHeight="1">
      <c r="A309" s="219" t="str">
        <f>'High Risk Non-Compliant'!B265</f>
        <v>COMP-05</v>
      </c>
      <c r="B309" s="220" t="str">
        <f>'High Risk Non-Compliant'!C265</f>
        <v>Do you have a dedicated Information Security staff or office?</v>
      </c>
      <c r="C309" s="3"/>
      <c r="D309" s="220" t="str">
        <f>'High Risk Non-Compliant'!D265</f>
        <v>2 security experts: Michal Oglodek (CTO), Patryk Majewski, VP </v>
      </c>
      <c r="E309" s="2"/>
      <c r="F309" s="3"/>
      <c r="G309" s="111"/>
      <c r="H309" s="111"/>
      <c r="I309" s="32"/>
      <c r="J309" s="32"/>
      <c r="K309" s="32"/>
      <c r="L309" s="32"/>
      <c r="M309" s="32"/>
      <c r="N309" s="32"/>
      <c r="O309" s="32"/>
      <c r="P309" s="32"/>
      <c r="Q309" s="32"/>
      <c r="R309" s="32"/>
      <c r="S309" s="32"/>
      <c r="T309" s="32"/>
      <c r="U309" s="32"/>
      <c r="V309" s="32"/>
      <c r="W309" s="32"/>
      <c r="X309" s="32"/>
      <c r="Y309" s="32"/>
      <c r="Z309" s="32"/>
    </row>
    <row r="310" ht="15.75" customHeight="1">
      <c r="A310" s="219" t="str">
        <f>'High Risk Non-Compliant'!B266</f>
        <v>COMP-06</v>
      </c>
      <c r="B310" s="220" t="str">
        <f>'High Risk Non-Compliant'!C266</f>
        <v>Do you have a dedicated Software and System Development team(s)? (e.g. Customer Support, Implementation, Product Management, etc.)</v>
      </c>
      <c r="C310" s="3"/>
      <c r="D310" s="220" t="str">
        <f>'High Risk Non-Compliant'!D266</f>
        <v>5 developers, 2 QA</v>
      </c>
      <c r="E310" s="2"/>
      <c r="F310" s="3"/>
      <c r="G310" s="111"/>
      <c r="H310" s="111"/>
      <c r="I310" s="32"/>
      <c r="J310" s="32"/>
      <c r="K310" s="32"/>
      <c r="L310" s="32"/>
      <c r="M310" s="32"/>
      <c r="N310" s="32"/>
      <c r="O310" s="32"/>
      <c r="P310" s="32"/>
      <c r="Q310" s="32"/>
      <c r="R310" s="32"/>
      <c r="S310" s="32"/>
      <c r="T310" s="32"/>
      <c r="U310" s="32"/>
      <c r="V310" s="32"/>
      <c r="W310" s="32"/>
      <c r="X310" s="32"/>
      <c r="Y310" s="32"/>
      <c r="Z310" s="32"/>
    </row>
    <row r="311" ht="43.5" customHeight="1">
      <c r="A311" s="219" t="str">
        <f>'High Risk Non-Compliant'!B267</f>
        <v>COMP-07</v>
      </c>
      <c r="B311" s="220" t="str">
        <f>'High Risk Non-Compliant'!C267</f>
        <v>Use this area to share information about your environment that will assist those who are assessing your company data security program.</v>
      </c>
      <c r="C311" s="3"/>
      <c r="D311" s="220" t="str">
        <f>'High Risk Non-Compliant'!D267</f>
        <v/>
      </c>
      <c r="E311" s="2"/>
      <c r="F311" s="3"/>
      <c r="G311" s="111"/>
      <c r="H311" s="111"/>
      <c r="I311" s="32"/>
      <c r="J311" s="32"/>
      <c r="K311" s="32"/>
      <c r="L311" s="32"/>
      <c r="M311" s="32"/>
      <c r="N311" s="32"/>
      <c r="O311" s="32"/>
      <c r="P311" s="32"/>
      <c r="Q311" s="32"/>
      <c r="R311" s="32"/>
      <c r="S311" s="32"/>
      <c r="T311" s="32"/>
      <c r="U311" s="32"/>
      <c r="V311" s="32"/>
      <c r="W311" s="32"/>
      <c r="X311" s="32"/>
      <c r="Y311" s="32"/>
      <c r="Z311" s="32"/>
    </row>
    <row r="312" ht="43.5" customHeight="1">
      <c r="A312" s="219" t="str">
        <f>'High Risk Non-Compliant'!B268</f>
        <v/>
      </c>
      <c r="B312" s="220" t="str">
        <f>'High Risk Non-Compliant'!C268</f>
        <v/>
      </c>
      <c r="C312" s="3"/>
      <c r="D312" s="220" t="str">
        <f>'High Risk Non-Compliant'!D268</f>
        <v/>
      </c>
      <c r="E312" s="2"/>
      <c r="F312" s="3"/>
      <c r="G312" s="111"/>
      <c r="H312" s="111"/>
      <c r="I312" s="32"/>
      <c r="J312" s="32"/>
      <c r="K312" s="32"/>
      <c r="L312" s="32"/>
      <c r="M312" s="32"/>
      <c r="N312" s="32"/>
      <c r="O312" s="32"/>
      <c r="P312" s="32"/>
      <c r="Q312" s="32"/>
      <c r="R312" s="32"/>
      <c r="S312" s="32"/>
      <c r="T312" s="32"/>
      <c r="U312" s="32"/>
      <c r="V312" s="32"/>
      <c r="W312" s="32"/>
      <c r="X312" s="32"/>
      <c r="Y312" s="32"/>
      <c r="Z312" s="32"/>
    </row>
    <row r="313" ht="43.5" customHeight="1">
      <c r="A313" s="219" t="str">
        <f>'High Risk Non-Compliant'!B269</f>
        <v/>
      </c>
      <c r="B313" s="220" t="str">
        <f>'High Risk Non-Compliant'!C269</f>
        <v/>
      </c>
      <c r="C313" s="3"/>
      <c r="D313" s="220" t="str">
        <f>'High Risk Non-Compliant'!D269</f>
        <v/>
      </c>
      <c r="E313" s="2"/>
      <c r="F313" s="3"/>
      <c r="G313" s="111"/>
      <c r="H313" s="111"/>
      <c r="I313" s="32"/>
      <c r="J313" s="32"/>
      <c r="K313" s="32"/>
      <c r="L313" s="32"/>
      <c r="M313" s="32"/>
      <c r="N313" s="32"/>
      <c r="O313" s="32"/>
      <c r="P313" s="32"/>
      <c r="Q313" s="32"/>
      <c r="R313" s="32"/>
      <c r="S313" s="32"/>
      <c r="T313" s="32"/>
      <c r="U313" s="32"/>
      <c r="V313" s="32"/>
      <c r="W313" s="32"/>
      <c r="X313" s="32"/>
      <c r="Y313" s="32"/>
      <c r="Z313" s="32"/>
    </row>
    <row r="314" ht="43.5" customHeight="1">
      <c r="A314" s="219" t="str">
        <f>'High Risk Non-Compliant'!B270</f>
        <v/>
      </c>
      <c r="B314" s="220" t="str">
        <f>'High Risk Non-Compliant'!C270</f>
        <v/>
      </c>
      <c r="C314" s="3"/>
      <c r="D314" s="220" t="str">
        <f>'High Risk Non-Compliant'!D270</f>
        <v/>
      </c>
      <c r="E314" s="2"/>
      <c r="F314" s="3"/>
      <c r="G314" s="111"/>
      <c r="H314" s="111"/>
      <c r="I314" s="32"/>
      <c r="J314" s="32"/>
      <c r="K314" s="32"/>
      <c r="L314" s="32"/>
      <c r="M314" s="32"/>
      <c r="N314" s="32"/>
      <c r="O314" s="32"/>
      <c r="P314" s="32"/>
      <c r="Q314" s="32"/>
      <c r="R314" s="32"/>
      <c r="S314" s="32"/>
      <c r="T314" s="32"/>
      <c r="U314" s="32"/>
      <c r="V314" s="32"/>
      <c r="W314" s="32"/>
      <c r="X314" s="32"/>
      <c r="Y314" s="32"/>
      <c r="Z314" s="32"/>
    </row>
    <row r="315" ht="29.25" customHeight="1">
      <c r="A315" s="219" t="str">
        <f>'High Risk Non-Compliant'!B271</f>
        <v/>
      </c>
      <c r="B315" s="220" t="str">
        <f>'High Risk Non-Compliant'!C271</f>
        <v/>
      </c>
      <c r="C315" s="3"/>
      <c r="D315" s="220" t="str">
        <f>'High Risk Non-Compliant'!D271</f>
        <v/>
      </c>
      <c r="E315" s="2"/>
      <c r="F315" s="3"/>
      <c r="G315" s="111"/>
      <c r="H315" s="111"/>
      <c r="I315" s="32"/>
      <c r="J315" s="32"/>
      <c r="K315" s="32"/>
      <c r="L315" s="32"/>
      <c r="M315" s="32"/>
      <c r="N315" s="32"/>
      <c r="O315" s="32"/>
      <c r="P315" s="32"/>
      <c r="Q315" s="32"/>
      <c r="R315" s="32"/>
      <c r="S315" s="32"/>
      <c r="T315" s="32"/>
      <c r="U315" s="32"/>
      <c r="V315" s="32"/>
      <c r="W315" s="32"/>
      <c r="X315" s="32"/>
      <c r="Y315" s="32"/>
      <c r="Z315" s="32"/>
    </row>
    <row r="316" ht="29.25" customHeight="1">
      <c r="A316" s="219" t="str">
        <f>'High Risk Non-Compliant'!B272</f>
        <v/>
      </c>
      <c r="B316" s="220" t="str">
        <f>'High Risk Non-Compliant'!C272</f>
        <v/>
      </c>
      <c r="C316" s="3"/>
      <c r="D316" s="220" t="str">
        <f>'High Risk Non-Compliant'!D272</f>
        <v/>
      </c>
      <c r="E316" s="2"/>
      <c r="F316" s="3"/>
      <c r="G316" s="111"/>
      <c r="H316" s="111"/>
      <c r="I316" s="32"/>
      <c r="J316" s="32"/>
      <c r="K316" s="32"/>
      <c r="L316" s="32"/>
      <c r="M316" s="32"/>
      <c r="N316" s="32"/>
      <c r="O316" s="32"/>
      <c r="P316" s="32"/>
      <c r="Q316" s="32"/>
      <c r="R316" s="32"/>
      <c r="S316" s="32"/>
      <c r="T316" s="32"/>
      <c r="U316" s="32"/>
      <c r="V316" s="32"/>
      <c r="W316" s="32"/>
      <c r="X316" s="32"/>
      <c r="Y316" s="32"/>
      <c r="Z316" s="32"/>
    </row>
    <row r="317" ht="15.75" customHeight="1">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ht="15.75" customHeight="1">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ht="15.75" customHeight="1">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ht="15.75" customHeight="1">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ht="15.75" customHeight="1">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ht="15.75" customHeight="1">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ht="15.75" customHeight="1">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ht="15.75" customHeight="1">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ht="15.75" customHeight="1">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ht="15.75" customHeight="1">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ht="15.75" customHeight="1">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ht="15.75" customHeight="1">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ht="15.75" customHeight="1">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ht="15.75" customHeight="1">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ht="15.75" customHeight="1">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ht="15.75" customHeight="1">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ht="15.75" customHeight="1">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ht="15.75" customHeight="1">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ht="15.75" customHeight="1">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ht="15.75" customHeight="1">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ht="15.75" customHeight="1">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ht="15.75" customHeight="1">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ht="15.75" customHeight="1">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ht="15.75" customHeight="1">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ht="15.75" customHeight="1">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ht="15.75" customHeight="1">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ht="15.75" customHeight="1">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ht="15.75" customHeight="1">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ht="15.75" customHeight="1">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ht="15.75" customHeight="1">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ht="15.75" customHeight="1">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ht="15.75" customHeight="1">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ht="15.75" customHeight="1">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ht="15.75" customHeight="1">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ht="15.75" customHeight="1">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ht="15.75" customHeight="1">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ht="15.75" customHeight="1">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ht="15.75" customHeight="1">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ht="15.75" customHeight="1">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ht="15.75" customHeight="1">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ht="15.75" customHeight="1">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ht="15.75" customHeight="1">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ht="15.75" customHeight="1">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ht="15.75" customHeight="1">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ht="15.75" customHeight="1">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ht="15.75" customHeight="1">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ht="15.75" customHeight="1">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ht="15.75" customHeight="1">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ht="15.75" customHeight="1">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ht="15.75" customHeight="1">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ht="15.75" customHeight="1">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ht="15.75" customHeight="1">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ht="15.75" customHeight="1">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ht="15.75" customHeight="1">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ht="15.75" customHeight="1">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ht="15.75" customHeight="1">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ht="15.75" customHeight="1">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ht="15.75" customHeight="1">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ht="15.75" customHeight="1">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ht="15.75" customHeight="1">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ht="15.75" customHeight="1">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ht="15.75" customHeight="1">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ht="15.75" customHeight="1">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ht="15.75" customHeight="1">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ht="15.75" customHeight="1">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ht="15.75" customHeight="1">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ht="15.75" customHeight="1">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ht="15.75" customHeight="1">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ht="15.75" customHeight="1">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ht="15.75" customHeight="1">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ht="15.75" customHeight="1">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ht="15.75" customHeight="1">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ht="15.75" customHeight="1">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ht="15.75" customHeight="1">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ht="15.75" customHeight="1">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ht="15.75" customHeight="1">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ht="15.75" customHeight="1">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ht="15.75" customHeight="1">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ht="15.75" customHeight="1">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ht="15.75" customHeight="1">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ht="15.75" customHeight="1">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ht="15.75" customHeight="1">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ht="15.75" customHeight="1">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ht="15.75" customHeight="1">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ht="15.75" customHeight="1">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ht="15.75" customHeight="1">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ht="15.75" customHeight="1">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ht="15.75" customHeight="1">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ht="15.75" customHeight="1">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ht="15.75" customHeight="1">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ht="15.75" customHeight="1">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ht="15.75" customHeight="1">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ht="15.75" customHeight="1">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ht="15.75" customHeight="1">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ht="15.75" customHeight="1">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ht="15.75" customHeight="1">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ht="15.75" customHeight="1">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ht="15.75" customHeight="1">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ht="15.75" customHeight="1">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ht="15.75" customHeight="1">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ht="15.75" customHeight="1">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ht="15.75" customHeight="1">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ht="15.75" customHeight="1">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ht="15.75" customHeight="1">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ht="15.75" customHeight="1">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ht="15.75" customHeight="1">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ht="15.75" customHeight="1">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ht="15.75" customHeight="1">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ht="15.75" customHeight="1">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ht="15.75" customHeight="1">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ht="15.75" customHeight="1">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ht="15.75" customHeight="1">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ht="15.75" customHeight="1">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ht="15.75" customHeight="1">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ht="15.75" customHeight="1">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ht="15.75" customHeight="1">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ht="15.75" customHeight="1">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ht="15.75" customHeight="1">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ht="15.75" customHeight="1">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ht="15.75" customHeight="1">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ht="15.75" customHeight="1">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ht="15.75" customHeight="1">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ht="15.75" customHeight="1">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ht="15.75" customHeight="1">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ht="15.75" customHeight="1">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ht="15.75" customHeight="1">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ht="15.75" customHeight="1">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ht="15.75" customHeight="1">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ht="15.75" customHeight="1">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ht="15.75" customHeight="1">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ht="15.75" customHeight="1">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ht="15.75" customHeight="1">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ht="15.75" customHeight="1">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ht="15.75" customHeight="1">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ht="15.75" customHeight="1">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ht="15.75" customHeight="1">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ht="15.75" customHeight="1">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ht="15.75" customHeight="1">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ht="15.75" customHeight="1">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ht="15.75" customHeight="1">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ht="15.75" customHeight="1">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ht="15.75" customHeight="1">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ht="15.75" customHeight="1">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ht="15.75" customHeight="1">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ht="15.75" customHeight="1">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ht="15.75" customHeight="1">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ht="15.75" customHeight="1">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ht="15.75" customHeight="1">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ht="15.75" customHeight="1">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ht="15.75" customHeight="1">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ht="15.75" customHeight="1">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ht="15.75" customHeight="1">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ht="15.75" customHeight="1">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ht="15.75" customHeight="1">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ht="15.75" customHeight="1">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ht="15.75" customHeight="1">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ht="15.75" customHeight="1">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ht="15.75" customHeight="1">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ht="15.75" customHeight="1">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ht="15.75" customHeight="1">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ht="15.75" customHeight="1">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ht="15.75" customHeight="1">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ht="15.75" customHeight="1">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ht="15.75" customHeight="1">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ht="15.75" customHeight="1">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ht="15.75" customHeight="1">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ht="15.75" customHeight="1">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ht="15.75" customHeight="1">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ht="15.75" customHeight="1">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ht="15.75" customHeight="1">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ht="15.75" customHeight="1">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ht="15.75" customHeight="1">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ht="15.75" customHeight="1">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ht="15.75" customHeight="1">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ht="15.75" customHeight="1">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ht="15.75" customHeight="1">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ht="15.75" customHeight="1">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ht="15.75" customHeight="1">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ht="15.75" customHeight="1">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ht="15.75" customHeight="1">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ht="15.75" customHeight="1">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ht="15.75" customHeight="1">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ht="15.75" customHeight="1">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ht="15.75" customHeight="1">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ht="15.75" customHeight="1">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ht="15.75" customHeight="1">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ht="15.75" customHeight="1">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ht="15.75" customHeight="1">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ht="15.75" customHeight="1">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ht="15.75" customHeight="1">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ht="15.75" customHeight="1">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ht="15.75" customHeight="1">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ht="15.75" customHeight="1">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ht="15.75" customHeight="1">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ht="15.75" customHeight="1">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ht="15.75" customHeight="1">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ht="15.75" customHeight="1">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ht="15.75" customHeight="1">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ht="15.75" customHeight="1">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ht="15.75" customHeight="1">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ht="15.75" customHeight="1">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ht="15.75" customHeight="1">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ht="15.75" customHeight="1">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ht="15.75" customHeight="1">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ht="15.75" customHeight="1">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ht="15.75" customHeight="1">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ht="15.75" customHeight="1">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ht="15.75" customHeight="1">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ht="15.75" customHeight="1">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ht="15.75" customHeight="1">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ht="15.75" customHeight="1">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ht="15.75" customHeight="1">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ht="15.75" customHeight="1">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ht="15.75" customHeight="1">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ht="15.75" customHeight="1">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ht="15.75" customHeight="1">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ht="15.75" customHeight="1">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ht="15.75" customHeight="1">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ht="15.75" customHeight="1">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ht="15.75" customHeight="1">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ht="15.75" customHeight="1">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ht="15.75" customHeight="1">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ht="15.75" customHeight="1">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ht="15.75" customHeight="1">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ht="15.75" customHeight="1">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ht="15.75" customHeight="1">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ht="15.75" customHeight="1">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ht="15.75" customHeight="1">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ht="15.75" customHeight="1">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ht="15.75" customHeight="1">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ht="15.75" customHeight="1">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ht="15.75" customHeight="1">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ht="15.75" customHeight="1">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ht="15.75" customHeight="1">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ht="15.75" customHeight="1">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ht="15.75" customHeight="1">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ht="15.75" customHeight="1">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ht="15.75" customHeight="1">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ht="15.75" customHeight="1">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ht="15.75" customHeight="1">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ht="15.75" customHeight="1">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ht="15.75" customHeight="1">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ht="15.75" customHeight="1">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ht="15.75" customHeight="1">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ht="15.75" customHeight="1">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ht="15.75" customHeight="1">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ht="15.75" customHeight="1">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ht="15.75" customHeight="1">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ht="15.75" customHeight="1">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ht="15.75" customHeight="1">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ht="15.75" customHeight="1">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ht="15.75" customHeight="1">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ht="15.75" customHeight="1">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ht="15.75" customHeight="1">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ht="15.75" customHeight="1">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ht="15.75" customHeight="1">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ht="15.75" customHeight="1">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ht="15.75" customHeight="1">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ht="15.75" customHeight="1">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ht="15.75" customHeight="1">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ht="15.75" customHeight="1">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ht="15.75" customHeight="1">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ht="15.75" customHeight="1">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ht="15.75" customHeight="1">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ht="15.75" customHeight="1">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ht="15.75" customHeight="1">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ht="15.75" customHeight="1">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ht="15.75" customHeight="1">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ht="15.75" customHeight="1">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ht="15.75" customHeight="1">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ht="15.75" customHeight="1">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ht="15.75" customHeight="1">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ht="15.75" customHeight="1">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ht="15.75" customHeight="1">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ht="15.75" customHeight="1">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ht="15.75" customHeight="1">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ht="15.75" customHeight="1">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ht="15.75" customHeight="1">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ht="15.75" customHeight="1">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ht="15.75" customHeight="1">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ht="15.75" customHeight="1">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ht="15.75" customHeight="1">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ht="15.75" customHeight="1">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ht="15.75" customHeight="1">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ht="15.75" customHeight="1">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ht="15.75" customHeight="1">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ht="15.75" customHeight="1">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ht="15.75" customHeight="1">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ht="15.75" customHeight="1">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ht="15.75" customHeight="1">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ht="15.75" customHeight="1">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ht="15.75" customHeight="1">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ht="15.75" customHeight="1">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ht="15.75" customHeight="1">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ht="15.75" customHeight="1">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ht="15.75" customHeight="1">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ht="15.75" customHeight="1">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ht="15.75" customHeight="1">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ht="15.75" customHeight="1">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ht="15.75" customHeight="1">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ht="15.75" customHeight="1">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ht="15.75" customHeight="1">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ht="15.75" customHeight="1">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ht="15.75" customHeight="1">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ht="15.75" customHeight="1">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ht="15.75" customHeight="1">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ht="15.75" customHeight="1">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ht="15.75" customHeight="1">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ht="15.75" customHeight="1">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ht="15.75" customHeight="1">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ht="15.75" customHeight="1">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ht="15.75" customHeight="1">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ht="15.75" customHeight="1">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ht="15.75" customHeight="1">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ht="15.75" customHeight="1">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ht="15.75" customHeight="1">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ht="15.75" customHeight="1">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ht="15.75" customHeight="1">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ht="15.75" customHeight="1">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ht="15.75" customHeight="1">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ht="15.75" customHeight="1">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ht="15.75" customHeight="1">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ht="15.75" customHeight="1">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ht="15.75" customHeight="1">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ht="15.75" customHeight="1">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ht="15.75" customHeight="1">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ht="15.75" customHeight="1">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ht="15.75" customHeight="1">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ht="15.75" customHeight="1">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ht="15.75" customHeight="1">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ht="15.75" customHeight="1">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ht="15.75" customHeight="1">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ht="15.75" customHeight="1">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ht="15.75" customHeight="1">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ht="15.75" customHeight="1">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ht="15.75" customHeight="1">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ht="15.75" customHeight="1">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ht="15.75" customHeight="1">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ht="15.75" customHeight="1">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ht="15.75" customHeight="1">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ht="15.75" customHeight="1">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ht="15.75" customHeight="1">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ht="15.75" customHeight="1">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ht="15.75" customHeight="1">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ht="15.75" customHeight="1">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ht="15.75" customHeight="1">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ht="15.75" customHeight="1">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ht="15.75" customHeight="1">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ht="15.75" customHeight="1">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ht="15.75" customHeight="1">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ht="15.75" customHeight="1">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ht="15.75" customHeight="1">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ht="15.75" customHeight="1">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ht="15.75" customHeight="1">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ht="15.75" customHeight="1">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ht="15.75" customHeight="1">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ht="15.75" customHeight="1">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ht="15.75" customHeight="1">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ht="15.75" customHeight="1">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ht="15.75" customHeight="1">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ht="15.75" customHeight="1">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ht="15.75" customHeight="1">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ht="15.75" customHeight="1">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ht="15.75" customHeight="1">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ht="15.75" customHeight="1">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ht="15.75" customHeight="1">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ht="15.75" customHeight="1">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ht="15.75" customHeight="1">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ht="15.75" customHeight="1">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ht="15.75" customHeight="1">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ht="15.75" customHeight="1">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ht="15.75" customHeight="1">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ht="15.75" customHeight="1">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ht="15.75" customHeight="1">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ht="15.75" customHeight="1">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ht="15.75" customHeight="1">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ht="15.75" customHeight="1">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ht="15.75" customHeight="1">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ht="15.75" customHeight="1">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ht="15.75" customHeight="1">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ht="15.75" customHeight="1">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ht="15.75" customHeight="1">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ht="15.75" customHeight="1">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ht="15.75" customHeight="1">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ht="15.75" customHeight="1">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ht="15.75" customHeight="1">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ht="15.75" customHeight="1">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ht="15.75" customHeight="1">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ht="15.75" customHeight="1">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ht="15.75" customHeight="1">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ht="15.75" customHeight="1">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ht="15.75" customHeight="1">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ht="15.75" customHeight="1">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ht="15.75" customHeight="1">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ht="15.75" customHeight="1">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ht="15.75" customHeight="1">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ht="15.75" customHeight="1">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ht="15.75" customHeight="1">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ht="15.75" customHeight="1">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ht="15.75" customHeight="1">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ht="15.75" customHeight="1">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ht="15.75" customHeight="1">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ht="15.75" customHeight="1">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ht="15.75" customHeight="1">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ht="15.75" customHeight="1">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ht="15.75" customHeight="1">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ht="15.75" customHeight="1">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ht="15.75" customHeight="1">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ht="15.75" customHeight="1">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ht="15.75" customHeight="1">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ht="15.75" customHeight="1">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ht="15.75" customHeight="1">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ht="15.75" customHeight="1">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ht="15.75" customHeight="1">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ht="15.75" customHeight="1">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ht="15.75" customHeight="1">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ht="15.75" customHeight="1">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ht="15.75" customHeight="1">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ht="15.75" customHeight="1">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ht="15.75" customHeight="1">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ht="15.75" customHeight="1">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ht="15.75" customHeight="1">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ht="15.75" customHeight="1">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ht="15.75" customHeight="1">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ht="15.75" customHeight="1">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ht="15.75" customHeight="1">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ht="15.75" customHeight="1">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ht="15.75" customHeight="1">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ht="15.75" customHeight="1">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ht="15.75" customHeight="1">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ht="15.75" customHeight="1">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ht="15.75" customHeight="1">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ht="15.75" customHeight="1">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ht="15.75" customHeight="1">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ht="15.75" customHeight="1">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ht="15.75" customHeight="1">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ht="15.75" customHeight="1">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ht="15.75" customHeight="1">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ht="15.75" customHeight="1">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ht="15.75" customHeight="1">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ht="15.75" customHeight="1">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ht="15.75" customHeight="1">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ht="15.75" customHeight="1">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ht="15.75" customHeight="1">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ht="15.75" customHeight="1">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ht="15.75" customHeight="1">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ht="15.75" customHeight="1">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ht="15.75" customHeight="1">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ht="15.75" customHeight="1">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ht="15.75" customHeight="1">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ht="15.75" customHeight="1">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ht="15.75" customHeight="1">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ht="15.75" customHeight="1">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ht="15.75" customHeight="1">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ht="15.75" customHeight="1">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ht="15.75" customHeight="1">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ht="15.75" customHeight="1">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ht="15.75" customHeight="1">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ht="15.75" customHeight="1">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ht="15.75" customHeight="1">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ht="15.75" customHeight="1">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ht="15.75" customHeight="1">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ht="15.75" customHeight="1">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ht="15.75" customHeight="1">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ht="15.75" customHeight="1">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ht="15.75" customHeight="1">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ht="15.75" customHeight="1">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ht="15.75" customHeight="1">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ht="15.75" customHeight="1">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ht="15.75" customHeight="1">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ht="15.75" customHeight="1">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ht="15.75" customHeight="1">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ht="15.75" customHeight="1">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ht="15.75" customHeight="1">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ht="15.75" customHeight="1">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ht="15.75" customHeight="1">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ht="15.75" customHeight="1">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ht="15.75" customHeight="1">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ht="15.75" customHeight="1">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ht="15.75" customHeight="1">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ht="15.75" customHeight="1">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ht="15.75" customHeight="1">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ht="15.75" customHeight="1">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ht="15.75" customHeight="1">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ht="15.75" customHeight="1">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ht="15.75" customHeight="1">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ht="15.75" customHeight="1">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ht="15.75" customHeight="1">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ht="15.75" customHeight="1">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ht="15.75" customHeight="1">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ht="15.75" customHeight="1">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ht="15.75" customHeight="1">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ht="15.75" customHeight="1">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ht="15.75" customHeight="1">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ht="15.75" customHeight="1">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ht="15.75" customHeight="1">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ht="15.75" customHeight="1">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ht="15.75" customHeight="1">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ht="15.75" customHeight="1">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ht="15.75" customHeight="1">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ht="15.75" customHeight="1">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ht="15.75" customHeight="1">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ht="15.75" customHeight="1">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ht="15.75" customHeight="1">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ht="15.75" customHeight="1">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ht="15.75" customHeight="1">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ht="15.75" customHeight="1">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ht="15.75" customHeight="1">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ht="15.75" customHeight="1">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ht="15.75" customHeight="1">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ht="15.75" customHeight="1">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ht="15.75" customHeight="1">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ht="15.75" customHeight="1">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ht="15.75" customHeight="1">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ht="15.75" customHeight="1">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ht="15.75" customHeight="1">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ht="15.75" customHeight="1">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ht="15.75" customHeight="1">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ht="15.75" customHeight="1">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ht="15.75" customHeight="1">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ht="15.75" customHeight="1">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ht="15.75" customHeight="1">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ht="15.75" customHeight="1">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ht="15.75" customHeight="1">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ht="15.75" customHeight="1">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ht="15.75" customHeight="1">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ht="15.75" customHeight="1">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ht="15.75" customHeight="1">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ht="15.75" customHeight="1">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ht="15.75" customHeight="1">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ht="15.75" customHeight="1">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ht="15.75" customHeight="1">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ht="15.75" customHeight="1">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ht="15.75" customHeight="1">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ht="15.75" customHeight="1">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ht="15.75" customHeight="1">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ht="15.75" customHeight="1">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ht="15.75" customHeight="1">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ht="15.75" customHeight="1">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ht="15.75" customHeight="1">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ht="15.75" customHeight="1">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ht="15.75" customHeight="1">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ht="15.75" customHeight="1">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ht="15.75" customHeight="1">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ht="15.75" customHeight="1">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ht="15.75" customHeight="1">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ht="15.75" customHeight="1">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ht="15.75" customHeight="1">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ht="15.75" customHeight="1">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ht="15.75" customHeight="1">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ht="15.75" customHeight="1">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ht="15.75" customHeight="1">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ht="15.75" customHeight="1">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ht="15.75" customHeight="1">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ht="15.75" customHeight="1">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ht="15.75" customHeight="1">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ht="15.75" customHeight="1">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ht="15.75" customHeight="1">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ht="15.75" customHeight="1">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ht="15.75" customHeight="1">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ht="15.75" customHeight="1">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ht="15.75" customHeight="1">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ht="15.75" customHeight="1">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ht="15.75" customHeight="1">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ht="15.75" customHeight="1">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ht="15.75" customHeight="1">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ht="15.75" customHeight="1">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ht="15.75" customHeight="1">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ht="15.75" customHeight="1">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ht="15.75" customHeight="1">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ht="15.75" customHeight="1">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ht="15.75" customHeight="1">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ht="15.75" customHeight="1">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ht="15.75" customHeight="1">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ht="15.75" customHeight="1">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ht="15.75" customHeight="1">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ht="15.75" customHeight="1">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ht="15.75" customHeight="1">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ht="15.75" customHeight="1">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ht="15.75" customHeight="1">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ht="15.75" customHeight="1">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ht="15.75" customHeight="1">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ht="15.75" customHeight="1">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ht="15.75" customHeight="1">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ht="15.75" customHeight="1">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ht="15.75" customHeight="1">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ht="15.75" customHeight="1">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ht="15.75" customHeight="1">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ht="15.75" customHeight="1">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ht="15.75" customHeight="1">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ht="15.75" customHeight="1">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ht="15.75" customHeight="1">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ht="15.75" customHeight="1">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ht="15.75" customHeight="1">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ht="15.75" customHeight="1">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ht="15.75" customHeight="1">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ht="15.75" customHeight="1">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ht="15.75" customHeight="1">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ht="15.75" customHeight="1">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ht="15.75" customHeight="1">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ht="15.75" customHeight="1">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ht="15.75" customHeight="1">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ht="15.75" customHeight="1">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ht="15.75" customHeight="1">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ht="15.75" customHeight="1">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ht="15.75" customHeight="1">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ht="15.75" customHeight="1">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ht="15.75" customHeight="1">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ht="15.75" customHeight="1">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ht="15.75" customHeight="1">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ht="15.75" customHeight="1">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ht="15.75" customHeight="1">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ht="15.75" customHeight="1">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ht="15.75" customHeight="1">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ht="15.75" customHeight="1">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ht="15.75" customHeight="1">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ht="15.75" customHeight="1">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ht="15.75" customHeight="1">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ht="15.75" customHeight="1">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ht="15.75" customHeight="1">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ht="15.75" customHeight="1">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ht="15.75" customHeight="1">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ht="15.75" customHeight="1">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ht="15.75" customHeight="1">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ht="15.75" customHeight="1">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ht="15.75" customHeight="1">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ht="15.75" customHeight="1">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ht="15.75" customHeight="1">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ht="15.75" customHeight="1">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ht="15.75" customHeight="1">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ht="15.75" customHeight="1">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ht="15.75" customHeight="1">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ht="15.75" customHeight="1">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ht="15.75" customHeight="1">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ht="15.75" customHeight="1">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ht="15.75" customHeight="1">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ht="15.75" customHeight="1">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ht="15.75" customHeight="1">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ht="15.75" customHeight="1">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ht="15.75" customHeight="1">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ht="15.75" customHeight="1">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ht="15.75" customHeight="1">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ht="15.75" customHeight="1">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ht="15.75" customHeight="1">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ht="15.75" customHeight="1">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ht="15.75" customHeight="1">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ht="15.75" customHeight="1">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ht="15.75" customHeight="1">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ht="15.75" customHeight="1">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ht="15.75" customHeight="1">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ht="15.75" customHeight="1">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ht="15.75" customHeight="1">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ht="15.75" customHeight="1">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ht="15.75" customHeight="1">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ht="15.75" customHeight="1">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ht="15.75" customHeight="1">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ht="15.75" customHeight="1">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ht="15.75" customHeight="1">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ht="15.75" customHeight="1">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ht="15.75" customHeight="1">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ht="15.75" customHeight="1">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ht="15.75" customHeight="1">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ht="15.75" customHeight="1">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ht="15.75" customHeight="1">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ht="15.75" customHeight="1">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ht="15.75" customHeight="1">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ht="15.75" customHeight="1">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ht="15.75" customHeight="1">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ht="15.75" customHeight="1">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ht="15.75" customHeight="1">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ht="15.75" customHeight="1">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ht="15.75" customHeight="1">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ht="15.75" customHeight="1">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ht="15.75" customHeight="1">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ht="15.75" customHeight="1">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ht="15.75" customHeight="1">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ht="15.75" customHeight="1">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ht="15.75" customHeight="1">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ht="15.75" customHeight="1">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ht="15.75" customHeight="1">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ht="15.75" customHeight="1">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ht="15.75" customHeight="1">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ht="15.75" customHeight="1">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ht="15.75" customHeight="1">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547">
    <mergeCell ref="B71:C71"/>
    <mergeCell ref="B72:C72"/>
    <mergeCell ref="B78:C78"/>
    <mergeCell ref="B74:C74"/>
    <mergeCell ref="B76:C76"/>
    <mergeCell ref="B70:C70"/>
    <mergeCell ref="B75:C75"/>
    <mergeCell ref="B77:C77"/>
    <mergeCell ref="B73:C73"/>
    <mergeCell ref="B100:C100"/>
    <mergeCell ref="B101:C101"/>
    <mergeCell ref="D100:F100"/>
    <mergeCell ref="B88:C88"/>
    <mergeCell ref="B89:C89"/>
    <mergeCell ref="B91:C91"/>
    <mergeCell ref="B84:C84"/>
    <mergeCell ref="B93:C93"/>
    <mergeCell ref="B94:C94"/>
    <mergeCell ref="D93:F93"/>
    <mergeCell ref="B92:C92"/>
    <mergeCell ref="D90:F90"/>
    <mergeCell ref="D79:F79"/>
    <mergeCell ref="D80:F80"/>
    <mergeCell ref="D77:F77"/>
    <mergeCell ref="D81:F81"/>
    <mergeCell ref="D82:F82"/>
    <mergeCell ref="B107:C107"/>
    <mergeCell ref="B108:C108"/>
    <mergeCell ref="B104:C104"/>
    <mergeCell ref="B103:C103"/>
    <mergeCell ref="D103:F103"/>
    <mergeCell ref="D104:F104"/>
    <mergeCell ref="D105:F105"/>
    <mergeCell ref="B105:C105"/>
    <mergeCell ref="D107:F107"/>
    <mergeCell ref="D108:F108"/>
    <mergeCell ref="B106:C106"/>
    <mergeCell ref="D106:F106"/>
    <mergeCell ref="B109:C109"/>
    <mergeCell ref="D109:F109"/>
    <mergeCell ref="B111:C111"/>
    <mergeCell ref="B112:C112"/>
    <mergeCell ref="D114:F114"/>
    <mergeCell ref="D112:F112"/>
    <mergeCell ref="D113:F113"/>
    <mergeCell ref="B110:C110"/>
    <mergeCell ref="D116:F116"/>
    <mergeCell ref="B90:C90"/>
    <mergeCell ref="B85:C85"/>
    <mergeCell ref="B86:C86"/>
    <mergeCell ref="B87:C87"/>
    <mergeCell ref="B129:C129"/>
    <mergeCell ref="D129:F129"/>
    <mergeCell ref="D133:F133"/>
    <mergeCell ref="D134:F134"/>
    <mergeCell ref="D128:F128"/>
    <mergeCell ref="D127:F127"/>
    <mergeCell ref="D124:F124"/>
    <mergeCell ref="D125:F125"/>
    <mergeCell ref="D126:F126"/>
    <mergeCell ref="D130:F130"/>
    <mergeCell ref="D131:F131"/>
    <mergeCell ref="B130:C130"/>
    <mergeCell ref="B131:C131"/>
    <mergeCell ref="B127:C127"/>
    <mergeCell ref="B134:C134"/>
    <mergeCell ref="D132:F132"/>
    <mergeCell ref="D102:F102"/>
    <mergeCell ref="B102:C102"/>
    <mergeCell ref="B79:C79"/>
    <mergeCell ref="D101:F101"/>
    <mergeCell ref="B99:C99"/>
    <mergeCell ref="D98:F98"/>
    <mergeCell ref="D97:F97"/>
    <mergeCell ref="D99:F99"/>
    <mergeCell ref="D94:F94"/>
    <mergeCell ref="D302:F302"/>
    <mergeCell ref="D301:F301"/>
    <mergeCell ref="D312:F312"/>
    <mergeCell ref="D315:F315"/>
    <mergeCell ref="D316:F316"/>
    <mergeCell ref="D314:F314"/>
    <mergeCell ref="D311:F311"/>
    <mergeCell ref="D313:F313"/>
    <mergeCell ref="D307:F307"/>
    <mergeCell ref="D308:F308"/>
    <mergeCell ref="D309:F309"/>
    <mergeCell ref="D310:F310"/>
    <mergeCell ref="D295:F295"/>
    <mergeCell ref="D296:F296"/>
    <mergeCell ref="D305:F305"/>
    <mergeCell ref="D306:F306"/>
    <mergeCell ref="D294:F294"/>
    <mergeCell ref="D298:F298"/>
    <mergeCell ref="D299:F299"/>
    <mergeCell ref="D297:F297"/>
    <mergeCell ref="D303:F303"/>
    <mergeCell ref="D304:F304"/>
    <mergeCell ref="D300:F300"/>
    <mergeCell ref="D256:F256"/>
    <mergeCell ref="D257:F257"/>
    <mergeCell ref="D265:F265"/>
    <mergeCell ref="D262:F262"/>
    <mergeCell ref="D263:F263"/>
    <mergeCell ref="D267:F267"/>
    <mergeCell ref="D266:F266"/>
    <mergeCell ref="D268:F268"/>
    <mergeCell ref="D248:F248"/>
    <mergeCell ref="D259:F259"/>
    <mergeCell ref="D253:F253"/>
    <mergeCell ref="D254:F254"/>
    <mergeCell ref="D255:F255"/>
    <mergeCell ref="D258:F258"/>
    <mergeCell ref="D261:F261"/>
    <mergeCell ref="D290:F290"/>
    <mergeCell ref="D289:F289"/>
    <mergeCell ref="D288:F288"/>
    <mergeCell ref="D277:F277"/>
    <mergeCell ref="D280:F280"/>
    <mergeCell ref="D281:F281"/>
    <mergeCell ref="D291:F291"/>
    <mergeCell ref="D292:F292"/>
    <mergeCell ref="D293:F293"/>
    <mergeCell ref="D270:F270"/>
    <mergeCell ref="D269:F269"/>
    <mergeCell ref="D282:F282"/>
    <mergeCell ref="D272:F272"/>
    <mergeCell ref="D273:F273"/>
    <mergeCell ref="D274:F274"/>
    <mergeCell ref="D275:F275"/>
    <mergeCell ref="D276:F276"/>
    <mergeCell ref="D271:F271"/>
    <mergeCell ref="D215:F215"/>
    <mergeCell ref="D220:F220"/>
    <mergeCell ref="D219:F219"/>
    <mergeCell ref="D216:F216"/>
    <mergeCell ref="D208:F208"/>
    <mergeCell ref="D209:F209"/>
    <mergeCell ref="D210:F210"/>
    <mergeCell ref="D211:F211"/>
    <mergeCell ref="D212:F212"/>
    <mergeCell ref="D213:F213"/>
    <mergeCell ref="D214:F214"/>
    <mergeCell ref="D287:F287"/>
    <mergeCell ref="D283:F283"/>
    <mergeCell ref="D284:F284"/>
    <mergeCell ref="D286:F286"/>
    <mergeCell ref="D285:F285"/>
    <mergeCell ref="D251:F251"/>
    <mergeCell ref="D252:F252"/>
    <mergeCell ref="D278:F278"/>
    <mergeCell ref="D279:F279"/>
    <mergeCell ref="D260:F260"/>
    <mergeCell ref="D264:F264"/>
    <mergeCell ref="D249:F249"/>
    <mergeCell ref="D250:F250"/>
    <mergeCell ref="D229:F229"/>
    <mergeCell ref="D227:F227"/>
    <mergeCell ref="D228:F228"/>
    <mergeCell ref="D226:F226"/>
    <mergeCell ref="D245:F245"/>
    <mergeCell ref="D246:F246"/>
    <mergeCell ref="D235:F235"/>
    <mergeCell ref="D233:F233"/>
    <mergeCell ref="D234:F234"/>
    <mergeCell ref="D240:F240"/>
    <mergeCell ref="D230:F230"/>
    <mergeCell ref="B237:C237"/>
    <mergeCell ref="B240:C240"/>
    <mergeCell ref="B238:C238"/>
    <mergeCell ref="B239:C239"/>
    <mergeCell ref="B221:C221"/>
    <mergeCell ref="B214:C214"/>
    <mergeCell ref="B216:C216"/>
    <mergeCell ref="B230:C230"/>
    <mergeCell ref="B231:C231"/>
    <mergeCell ref="B228:C228"/>
    <mergeCell ref="B229:C229"/>
    <mergeCell ref="B235:C235"/>
    <mergeCell ref="B232:C232"/>
    <mergeCell ref="B233:C233"/>
    <mergeCell ref="B234:C234"/>
    <mergeCell ref="B224:C224"/>
    <mergeCell ref="B225:C225"/>
    <mergeCell ref="B222:C222"/>
    <mergeCell ref="B205:C205"/>
    <mergeCell ref="B207:C207"/>
    <mergeCell ref="B227:C227"/>
    <mergeCell ref="B236:C236"/>
    <mergeCell ref="B288:C288"/>
    <mergeCell ref="B289:C289"/>
    <mergeCell ref="B297:C297"/>
    <mergeCell ref="B296:C296"/>
    <mergeCell ref="B294:C294"/>
    <mergeCell ref="B295:C295"/>
    <mergeCell ref="B290:C290"/>
    <mergeCell ref="B287:C287"/>
    <mergeCell ref="B293:C293"/>
    <mergeCell ref="B194:C194"/>
    <mergeCell ref="B195:C195"/>
    <mergeCell ref="B190:C190"/>
    <mergeCell ref="B189:C189"/>
    <mergeCell ref="B191:C191"/>
    <mergeCell ref="B196:C196"/>
    <mergeCell ref="B197:C197"/>
    <mergeCell ref="B192:C192"/>
    <mergeCell ref="B193:C193"/>
    <mergeCell ref="B146:C146"/>
    <mergeCell ref="B145:C145"/>
    <mergeCell ref="B152:C152"/>
    <mergeCell ref="B153:C153"/>
    <mergeCell ref="B154:C154"/>
    <mergeCell ref="B155:C155"/>
    <mergeCell ref="B137:C137"/>
    <mergeCell ref="B138:C138"/>
    <mergeCell ref="B150:C150"/>
    <mergeCell ref="B151:C151"/>
    <mergeCell ref="B147:C147"/>
    <mergeCell ref="B148:C148"/>
    <mergeCell ref="B156:C156"/>
    <mergeCell ref="B149:C149"/>
    <mergeCell ref="B128:C128"/>
    <mergeCell ref="B126:C126"/>
    <mergeCell ref="B124:C124"/>
    <mergeCell ref="B125:C125"/>
    <mergeCell ref="B301:C301"/>
    <mergeCell ref="B302:C302"/>
    <mergeCell ref="B298:C298"/>
    <mergeCell ref="B299:C299"/>
    <mergeCell ref="B300:C300"/>
    <mergeCell ref="B303:C303"/>
    <mergeCell ref="B304:C304"/>
    <mergeCell ref="B291:C291"/>
    <mergeCell ref="B292:C292"/>
    <mergeCell ref="B160:C160"/>
    <mergeCell ref="B159:C159"/>
    <mergeCell ref="B163:C163"/>
    <mergeCell ref="B164:C164"/>
    <mergeCell ref="B161:C161"/>
    <mergeCell ref="B162:C162"/>
    <mergeCell ref="B157:C157"/>
    <mergeCell ref="B158:C158"/>
    <mergeCell ref="B201:C201"/>
    <mergeCell ref="B199:C199"/>
    <mergeCell ref="B200:C200"/>
    <mergeCell ref="B171:C171"/>
    <mergeCell ref="B170:C170"/>
    <mergeCell ref="B166:C166"/>
    <mergeCell ref="B167:C167"/>
    <mergeCell ref="B168:C168"/>
    <mergeCell ref="B169:C169"/>
    <mergeCell ref="B203:C203"/>
    <mergeCell ref="B165:C165"/>
    <mergeCell ref="B220:C220"/>
    <mergeCell ref="B219:C219"/>
    <mergeCell ref="B210:C210"/>
    <mergeCell ref="B208:C208"/>
    <mergeCell ref="B209:C209"/>
    <mergeCell ref="B217:C217"/>
    <mergeCell ref="B211:C211"/>
    <mergeCell ref="B212:C212"/>
    <mergeCell ref="B213:C213"/>
    <mergeCell ref="B218:C218"/>
    <mergeCell ref="B247:C247"/>
    <mergeCell ref="B248:C248"/>
    <mergeCell ref="B244:C244"/>
    <mergeCell ref="B245:C245"/>
    <mergeCell ref="B251:C251"/>
    <mergeCell ref="B250:C250"/>
    <mergeCell ref="B241:C241"/>
    <mergeCell ref="B242:C242"/>
    <mergeCell ref="B256:C256"/>
    <mergeCell ref="B252:C252"/>
    <mergeCell ref="B253:C253"/>
    <mergeCell ref="B254:C254"/>
    <mergeCell ref="B255:C255"/>
    <mergeCell ref="B246:C246"/>
    <mergeCell ref="B249:C249"/>
    <mergeCell ref="B283:C283"/>
    <mergeCell ref="B282:C282"/>
    <mergeCell ref="B280:C280"/>
    <mergeCell ref="B281:C281"/>
    <mergeCell ref="B278:C278"/>
    <mergeCell ref="B279:C279"/>
    <mergeCell ref="B286:C286"/>
    <mergeCell ref="B285:C285"/>
    <mergeCell ref="B284:C284"/>
    <mergeCell ref="B117:C117"/>
    <mergeCell ref="B121:C121"/>
    <mergeCell ref="B120:C120"/>
    <mergeCell ref="B118:C118"/>
    <mergeCell ref="B119:C119"/>
    <mergeCell ref="B132:C132"/>
    <mergeCell ref="B133:C133"/>
    <mergeCell ref="B135:C135"/>
    <mergeCell ref="B139:C139"/>
    <mergeCell ref="B140:C140"/>
    <mergeCell ref="B136:C136"/>
    <mergeCell ref="B116:C116"/>
    <mergeCell ref="B268:C268"/>
    <mergeCell ref="B269:C269"/>
    <mergeCell ref="B261:C261"/>
    <mergeCell ref="B262:C262"/>
    <mergeCell ref="B267:C267"/>
    <mergeCell ref="B272:C272"/>
    <mergeCell ref="B270:C270"/>
    <mergeCell ref="B271:C271"/>
    <mergeCell ref="B263:C263"/>
    <mergeCell ref="B264:C264"/>
    <mergeCell ref="B273:C273"/>
    <mergeCell ref="B275:C275"/>
    <mergeCell ref="B274:C274"/>
    <mergeCell ref="B277:C277"/>
    <mergeCell ref="B259:C259"/>
    <mergeCell ref="B260:C260"/>
    <mergeCell ref="B257:C257"/>
    <mergeCell ref="B258:C258"/>
    <mergeCell ref="B266:C266"/>
    <mergeCell ref="B265:C265"/>
    <mergeCell ref="B276:C276"/>
    <mergeCell ref="B307:C307"/>
    <mergeCell ref="B308:C308"/>
    <mergeCell ref="B306:C306"/>
    <mergeCell ref="B305:C305"/>
    <mergeCell ref="B312:C312"/>
    <mergeCell ref="B316:C316"/>
    <mergeCell ref="B315:C315"/>
    <mergeCell ref="B314:C314"/>
    <mergeCell ref="B309:C309"/>
    <mergeCell ref="B310:C310"/>
    <mergeCell ref="B311:C311"/>
    <mergeCell ref="B313:C313"/>
    <mergeCell ref="B172:C172"/>
    <mergeCell ref="B173:C173"/>
    <mergeCell ref="B175:C175"/>
    <mergeCell ref="B176:C176"/>
    <mergeCell ref="B177:C177"/>
    <mergeCell ref="B178:C178"/>
    <mergeCell ref="B174:C174"/>
    <mergeCell ref="B179:C179"/>
    <mergeCell ref="B183:C183"/>
    <mergeCell ref="B184:C184"/>
    <mergeCell ref="B185:C185"/>
    <mergeCell ref="B186:C186"/>
    <mergeCell ref="B180:C180"/>
    <mergeCell ref="B181:C181"/>
    <mergeCell ref="D152:F152"/>
    <mergeCell ref="D165:F165"/>
    <mergeCell ref="D158:F158"/>
    <mergeCell ref="D159:F159"/>
    <mergeCell ref="D140:F140"/>
    <mergeCell ref="D144:F144"/>
    <mergeCell ref="D173:F173"/>
    <mergeCell ref="D174:F174"/>
    <mergeCell ref="D141:F141"/>
    <mergeCell ref="D193:F193"/>
    <mergeCell ref="D190:F190"/>
    <mergeCell ref="D191:F191"/>
    <mergeCell ref="D192:F192"/>
    <mergeCell ref="D187:F187"/>
    <mergeCell ref="D184:F184"/>
    <mergeCell ref="D169:F169"/>
    <mergeCell ref="D170:F170"/>
    <mergeCell ref="D135:F135"/>
    <mergeCell ref="D136:F136"/>
    <mergeCell ref="D137:F137"/>
    <mergeCell ref="D139:F139"/>
    <mergeCell ref="D138:F138"/>
    <mergeCell ref="D247:F247"/>
    <mergeCell ref="D166:F166"/>
    <mergeCell ref="D178:F178"/>
    <mergeCell ref="D163:F163"/>
    <mergeCell ref="D167:F167"/>
    <mergeCell ref="D168:F168"/>
    <mergeCell ref="D172:F172"/>
    <mergeCell ref="D171:F171"/>
    <mergeCell ref="D164:F164"/>
    <mergeCell ref="D194:F194"/>
    <mergeCell ref="D195:F195"/>
    <mergeCell ref="D196:F196"/>
    <mergeCell ref="D199:F199"/>
    <mergeCell ref="D198:F198"/>
    <mergeCell ref="D197:F197"/>
    <mergeCell ref="D202:F202"/>
    <mergeCell ref="D203:F203"/>
    <mergeCell ref="D200:F200"/>
    <mergeCell ref="D201:F201"/>
    <mergeCell ref="D185:F185"/>
    <mergeCell ref="D186:F186"/>
    <mergeCell ref="D204:F204"/>
    <mergeCell ref="D181:F181"/>
    <mergeCell ref="D150:F150"/>
    <mergeCell ref="D151:F151"/>
    <mergeCell ref="D153:F153"/>
    <mergeCell ref="D156:F156"/>
    <mergeCell ref="D155:F155"/>
    <mergeCell ref="D148:F148"/>
    <mergeCell ref="D147:F147"/>
    <mergeCell ref="D149:F149"/>
    <mergeCell ref="D154:F154"/>
    <mergeCell ref="D161:F161"/>
    <mergeCell ref="D162:F162"/>
    <mergeCell ref="D160:F160"/>
    <mergeCell ref="D157:F157"/>
    <mergeCell ref="D175:F175"/>
    <mergeCell ref="D176:F176"/>
    <mergeCell ref="D142:F142"/>
    <mergeCell ref="D143:F143"/>
    <mergeCell ref="B141:C141"/>
    <mergeCell ref="B144:C144"/>
    <mergeCell ref="B142:C142"/>
    <mergeCell ref="B143:C143"/>
    <mergeCell ref="D145:F145"/>
    <mergeCell ref="D146:F146"/>
    <mergeCell ref="B198:C198"/>
    <mergeCell ref="B202:C202"/>
    <mergeCell ref="B204:C204"/>
    <mergeCell ref="D179:F179"/>
    <mergeCell ref="D180:F180"/>
    <mergeCell ref="D177:F177"/>
    <mergeCell ref="B182:C182"/>
    <mergeCell ref="B187:C187"/>
    <mergeCell ref="B188:C188"/>
    <mergeCell ref="D182:F182"/>
    <mergeCell ref="D188:F188"/>
    <mergeCell ref="D189:F189"/>
    <mergeCell ref="D183:F183"/>
    <mergeCell ref="B48:C48"/>
    <mergeCell ref="D48:F48"/>
    <mergeCell ref="G47:H47"/>
    <mergeCell ref="A46:H46"/>
    <mergeCell ref="A47:F47"/>
    <mergeCell ref="D52:F52"/>
    <mergeCell ref="D53:F53"/>
    <mergeCell ref="B49:C49"/>
    <mergeCell ref="B50:C50"/>
    <mergeCell ref="B51:C51"/>
    <mergeCell ref="B53:C53"/>
    <mergeCell ref="B52:C52"/>
    <mergeCell ref="D51:F51"/>
    <mergeCell ref="D50:F50"/>
    <mergeCell ref="D49:F49"/>
    <mergeCell ref="D66:F66"/>
    <mergeCell ref="D65:F65"/>
    <mergeCell ref="B61:C61"/>
    <mergeCell ref="B62:C62"/>
    <mergeCell ref="D62:F62"/>
    <mergeCell ref="D61:F61"/>
    <mergeCell ref="D63:F63"/>
    <mergeCell ref="D64:F64"/>
    <mergeCell ref="D67:F67"/>
    <mergeCell ref="B81:C81"/>
    <mergeCell ref="B80:C80"/>
    <mergeCell ref="B64:C64"/>
    <mergeCell ref="B65:C65"/>
    <mergeCell ref="B59:C59"/>
    <mergeCell ref="B60:C60"/>
    <mergeCell ref="B69:C69"/>
    <mergeCell ref="B56:C56"/>
    <mergeCell ref="B68:C68"/>
    <mergeCell ref="B66:C66"/>
    <mergeCell ref="B67:C67"/>
    <mergeCell ref="B63:C63"/>
    <mergeCell ref="B55:C55"/>
    <mergeCell ref="B54:C54"/>
    <mergeCell ref="D55:F55"/>
    <mergeCell ref="D56:F56"/>
    <mergeCell ref="D5:E5"/>
    <mergeCell ref="A1:G1"/>
    <mergeCell ref="A2:H2"/>
    <mergeCell ref="B4:H4"/>
    <mergeCell ref="B3:C3"/>
    <mergeCell ref="E3:H3"/>
    <mergeCell ref="B57:C57"/>
    <mergeCell ref="B58:C58"/>
    <mergeCell ref="D57:F57"/>
    <mergeCell ref="D58:F58"/>
    <mergeCell ref="D59:F59"/>
    <mergeCell ref="D60:F60"/>
    <mergeCell ref="D54:F54"/>
    <mergeCell ref="D69:F69"/>
    <mergeCell ref="D68:F68"/>
    <mergeCell ref="D71:F71"/>
    <mergeCell ref="D72:F72"/>
    <mergeCell ref="D74:F74"/>
    <mergeCell ref="D75:F75"/>
    <mergeCell ref="D76:F76"/>
    <mergeCell ref="D73:F73"/>
    <mergeCell ref="D70:F70"/>
    <mergeCell ref="D78:F78"/>
    <mergeCell ref="B98:C98"/>
    <mergeCell ref="B95:C95"/>
    <mergeCell ref="B96:C96"/>
    <mergeCell ref="B97:C97"/>
    <mergeCell ref="D84:F84"/>
    <mergeCell ref="D83:F83"/>
    <mergeCell ref="B82:C82"/>
    <mergeCell ref="B83:C83"/>
    <mergeCell ref="D87:F87"/>
    <mergeCell ref="D85:F85"/>
    <mergeCell ref="D86:F86"/>
    <mergeCell ref="D91:F91"/>
    <mergeCell ref="D92:F92"/>
    <mergeCell ref="D88:F88"/>
    <mergeCell ref="D89:F89"/>
    <mergeCell ref="D95:F95"/>
    <mergeCell ref="D96:F96"/>
    <mergeCell ref="B122:C122"/>
    <mergeCell ref="D122:F122"/>
    <mergeCell ref="D123:F123"/>
    <mergeCell ref="D119:F119"/>
    <mergeCell ref="D120:F120"/>
    <mergeCell ref="D121:F121"/>
    <mergeCell ref="D117:F117"/>
    <mergeCell ref="D118:F118"/>
    <mergeCell ref="B123:C123"/>
    <mergeCell ref="D115:F115"/>
    <mergeCell ref="B114:C114"/>
    <mergeCell ref="B115:C115"/>
    <mergeCell ref="D110:F110"/>
    <mergeCell ref="D111:F111"/>
    <mergeCell ref="B113:C113"/>
    <mergeCell ref="D217:F217"/>
    <mergeCell ref="D218:F218"/>
    <mergeCell ref="D221:F221"/>
    <mergeCell ref="D224:F224"/>
    <mergeCell ref="D222:F222"/>
    <mergeCell ref="D223:F223"/>
    <mergeCell ref="D232:F232"/>
    <mergeCell ref="D231:F231"/>
    <mergeCell ref="D238:F238"/>
    <mergeCell ref="D239:F239"/>
    <mergeCell ref="D237:F237"/>
    <mergeCell ref="D236:F236"/>
    <mergeCell ref="D241:F241"/>
    <mergeCell ref="D242:F242"/>
    <mergeCell ref="D243:F243"/>
    <mergeCell ref="D244:F244"/>
    <mergeCell ref="D206:F206"/>
    <mergeCell ref="B206:C206"/>
    <mergeCell ref="D225:F225"/>
    <mergeCell ref="D205:F205"/>
    <mergeCell ref="D207:F207"/>
    <mergeCell ref="B223:C223"/>
    <mergeCell ref="B226:C226"/>
    <mergeCell ref="B243:C243"/>
    <mergeCell ref="B215:C215"/>
  </mergeCells>
  <conditionalFormatting sqref="E6">
    <cfRule type="cellIs" dxfId="13" priority="1" operator="equal">
      <formula>"D"</formula>
    </cfRule>
  </conditionalFormatting>
  <conditionalFormatting sqref="E6">
    <cfRule type="cellIs" dxfId="14" priority="2" operator="equal">
      <formula>"C"</formula>
    </cfRule>
  </conditionalFormatting>
  <conditionalFormatting sqref="E6">
    <cfRule type="cellIs" dxfId="15" priority="3" operator="equal">
      <formula>"B"</formula>
    </cfRule>
  </conditionalFormatting>
  <conditionalFormatting sqref="E6">
    <cfRule type="cellIs" dxfId="16" priority="4" operator="equal">
      <formula>"A"</formula>
    </cfRule>
  </conditionalFormatting>
  <conditionalFormatting sqref="E6">
    <cfRule type="cellIs" dxfId="17" priority="5" operator="equal">
      <formula>"F"</formula>
    </cfRule>
  </conditionalFormatting>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6" width="8.67"/>
  </cols>
  <sheetData>
    <row r="1" ht="15.75" customHeight="1">
      <c r="A1" s="148" t="s">
        <v>799</v>
      </c>
      <c r="B1" s="149" t="s">
        <v>1171</v>
      </c>
    </row>
    <row r="2" ht="15.75" customHeight="1">
      <c r="A2" s="148" t="s">
        <v>1172</v>
      </c>
      <c r="B2" s="149" t="s">
        <v>1173</v>
      </c>
    </row>
    <row r="3" ht="15.75" customHeight="1">
      <c r="A3" s="148" t="s">
        <v>1174</v>
      </c>
      <c r="B3" s="149" t="s">
        <v>1175</v>
      </c>
    </row>
    <row r="4" ht="15.75" customHeight="1">
      <c r="A4" s="148" t="s">
        <v>1176</v>
      </c>
      <c r="B4" s="149" t="s">
        <v>1177</v>
      </c>
    </row>
    <row r="5" ht="15.75" customHeight="1">
      <c r="A5" s="148" t="s">
        <v>1178</v>
      </c>
      <c r="B5" s="149" t="s">
        <v>1179</v>
      </c>
    </row>
    <row r="6" ht="15.75" customHeight="1">
      <c r="A6" s="148" t="s">
        <v>1180</v>
      </c>
      <c r="B6" s="149" t="s">
        <v>1181</v>
      </c>
    </row>
    <row r="7" ht="15.75" customHeight="1">
      <c r="A7" s="148" t="s">
        <v>1182</v>
      </c>
      <c r="B7" s="149" t="s">
        <v>1183</v>
      </c>
    </row>
    <row r="8" ht="15.75" customHeight="1">
      <c r="A8" s="148" t="s">
        <v>918</v>
      </c>
      <c r="B8" s="149" t="s">
        <v>1184</v>
      </c>
    </row>
    <row r="9" ht="15.75" customHeight="1">
      <c r="A9" s="148" t="s">
        <v>1185</v>
      </c>
      <c r="B9" s="149" t="s">
        <v>1186</v>
      </c>
    </row>
    <row r="10" ht="15.75" customHeight="1">
      <c r="A10" s="148" t="s">
        <v>855</v>
      </c>
      <c r="B10" s="149" t="s">
        <v>1187</v>
      </c>
    </row>
    <row r="11" ht="15.75" customHeight="1">
      <c r="A11" s="148" t="s">
        <v>862</v>
      </c>
      <c r="B11" s="149" t="s">
        <v>1188</v>
      </c>
    </row>
    <row r="12" ht="15.75" customHeight="1">
      <c r="A12" s="148" t="s">
        <v>1189</v>
      </c>
      <c r="B12" s="149" t="s">
        <v>1190</v>
      </c>
    </row>
    <row r="13" ht="15.75" customHeight="1">
      <c r="A13" s="148" t="s">
        <v>870</v>
      </c>
      <c r="B13" s="149" t="s">
        <v>1191</v>
      </c>
    </row>
    <row r="14" ht="15.75" customHeight="1">
      <c r="A14" s="148" t="s">
        <v>1192</v>
      </c>
      <c r="B14" s="149" t="s">
        <v>1193</v>
      </c>
    </row>
    <row r="15" ht="15.75" customHeight="1">
      <c r="A15" s="148" t="s">
        <v>1194</v>
      </c>
      <c r="B15" s="149" t="s">
        <v>1195</v>
      </c>
    </row>
    <row r="16" ht="15.75" customHeight="1">
      <c r="A16" s="148" t="s">
        <v>1196</v>
      </c>
      <c r="B16" s="149" t="s">
        <v>1197</v>
      </c>
    </row>
    <row r="17" ht="15.75" customHeight="1">
      <c r="A17" s="148" t="s">
        <v>519</v>
      </c>
      <c r="B17" s="149" t="s">
        <v>1198</v>
      </c>
    </row>
    <row r="18" ht="15.75" customHeight="1">
      <c r="A18" s="148" t="s">
        <v>1199</v>
      </c>
      <c r="B18" s="149" t="s">
        <v>1200</v>
      </c>
    </row>
    <row r="19" ht="15.75" customHeight="1">
      <c r="A19" s="148" t="s">
        <v>510</v>
      </c>
      <c r="B19" s="149" t="s">
        <v>1201</v>
      </c>
    </row>
    <row r="20" ht="15.75" customHeight="1">
      <c r="A20" s="148" t="s">
        <v>1202</v>
      </c>
      <c r="B20" s="149" t="s">
        <v>1203</v>
      </c>
    </row>
    <row r="21" ht="15.75" customHeight="1">
      <c r="A21" s="148" t="s">
        <v>1204</v>
      </c>
      <c r="B21" s="149" t="s">
        <v>1205</v>
      </c>
    </row>
    <row r="22" ht="15.75" customHeight="1">
      <c r="A22" s="148" t="s">
        <v>751</v>
      </c>
      <c r="B22" s="149" t="s">
        <v>1206</v>
      </c>
    </row>
    <row r="23" ht="15.75" customHeight="1">
      <c r="A23" s="148" t="s">
        <v>560</v>
      </c>
      <c r="B23" s="149" t="s">
        <v>1207</v>
      </c>
    </row>
    <row r="24" ht="15.75" customHeight="1">
      <c r="A24" s="148" t="s">
        <v>1208</v>
      </c>
      <c r="B24" s="149" t="s">
        <v>1209</v>
      </c>
    </row>
    <row r="25" ht="15.75" customHeight="1">
      <c r="A25" s="148" t="s">
        <v>1210</v>
      </c>
      <c r="B25" s="149" t="s">
        <v>1211</v>
      </c>
    </row>
    <row r="26" ht="15.75" customHeight="1">
      <c r="A26" s="148" t="s">
        <v>268</v>
      </c>
      <c r="B26" s="149" t="s">
        <v>1212</v>
      </c>
    </row>
    <row r="27" ht="15.75" customHeight="1">
      <c r="A27" s="148" t="s">
        <v>225</v>
      </c>
      <c r="B27" s="149" t="s">
        <v>1213</v>
      </c>
    </row>
    <row r="28" ht="15.75" customHeight="1">
      <c r="A28" s="148" t="s">
        <v>1214</v>
      </c>
      <c r="B28" s="149" t="s">
        <v>1215</v>
      </c>
    </row>
    <row r="29" ht="15.75" customHeight="1">
      <c r="A29" s="148" t="s">
        <v>1216</v>
      </c>
      <c r="B29" s="149" t="s">
        <v>1217</v>
      </c>
    </row>
    <row r="30" ht="15.75" customHeight="1">
      <c r="A30" s="148" t="s">
        <v>1023</v>
      </c>
      <c r="B30" s="149" t="s">
        <v>1218</v>
      </c>
    </row>
    <row r="31" ht="15.75" customHeight="1">
      <c r="A31" s="148" t="s">
        <v>1219</v>
      </c>
      <c r="B31" s="149" t="s">
        <v>1220</v>
      </c>
    </row>
    <row r="32" ht="15.75" customHeight="1">
      <c r="A32" s="148" t="s">
        <v>880</v>
      </c>
      <c r="B32" s="149" t="s">
        <v>1221</v>
      </c>
    </row>
    <row r="33" ht="15.75" customHeight="1">
      <c r="A33" s="148" t="s">
        <v>228</v>
      </c>
      <c r="B33" s="149" t="s">
        <v>1222</v>
      </c>
    </row>
    <row r="34" ht="15.75" customHeight="1">
      <c r="A34" s="148" t="s">
        <v>1223</v>
      </c>
      <c r="B34" s="149" t="s">
        <v>1224</v>
      </c>
    </row>
    <row r="35" ht="15.75" customHeight="1">
      <c r="A35" s="148" t="s">
        <v>1225</v>
      </c>
      <c r="B35" s="149" t="s">
        <v>1226</v>
      </c>
    </row>
    <row r="36" ht="15.75" customHeight="1">
      <c r="A36" s="148" t="s">
        <v>759</v>
      </c>
      <c r="B36" s="149" t="s">
        <v>1227</v>
      </c>
    </row>
    <row r="37" ht="15.75" customHeight="1">
      <c r="A37" s="148" t="s">
        <v>347</v>
      </c>
      <c r="B37" s="149" t="s">
        <v>1228</v>
      </c>
    </row>
    <row r="38" ht="15.75" customHeight="1">
      <c r="A38" s="148" t="s">
        <v>1229</v>
      </c>
      <c r="B38" s="149" t="s">
        <v>1230</v>
      </c>
    </row>
    <row r="39" ht="15.75" customHeight="1">
      <c r="A39" s="148" t="s">
        <v>1231</v>
      </c>
      <c r="B39" s="149" t="s">
        <v>1232</v>
      </c>
    </row>
    <row r="40" ht="15.75" customHeight="1">
      <c r="A40" s="148" t="s">
        <v>488</v>
      </c>
      <c r="B40" s="149" t="s">
        <v>1233</v>
      </c>
    </row>
    <row r="41" ht="15.75" customHeight="1">
      <c r="A41" s="148" t="s">
        <v>542</v>
      </c>
      <c r="B41" s="149" t="s">
        <v>1234</v>
      </c>
    </row>
    <row r="42" ht="15.75" customHeight="1">
      <c r="A42" s="148" t="s">
        <v>599</v>
      </c>
      <c r="B42" s="149" t="s">
        <v>1235</v>
      </c>
    </row>
    <row r="43" ht="15.75" customHeight="1">
      <c r="A43" s="148" t="s">
        <v>795</v>
      </c>
      <c r="B43" s="149" t="s">
        <v>1236</v>
      </c>
    </row>
    <row r="44" ht="15.75" customHeight="1">
      <c r="A44" s="148" t="s">
        <v>1237</v>
      </c>
      <c r="B44" s="149" t="s">
        <v>1238</v>
      </c>
    </row>
    <row r="45" ht="15.75" customHeight="1">
      <c r="A45" s="148" t="s">
        <v>631</v>
      </c>
      <c r="B45" s="149" t="s">
        <v>1239</v>
      </c>
    </row>
    <row r="46" ht="15.75" customHeight="1">
      <c r="A46" s="148" t="s">
        <v>1240</v>
      </c>
      <c r="B46" s="149" t="s">
        <v>1241</v>
      </c>
    </row>
    <row r="47" ht="15.75" customHeight="1">
      <c r="A47" s="148" t="s">
        <v>1242</v>
      </c>
      <c r="B47" s="149" t="s">
        <v>1243</v>
      </c>
    </row>
    <row r="48" ht="15.75" customHeight="1">
      <c r="A48" s="148" t="s">
        <v>628</v>
      </c>
      <c r="B48" s="149" t="s">
        <v>1244</v>
      </c>
    </row>
    <row r="49" ht="15.75" customHeight="1">
      <c r="A49" s="148" t="s">
        <v>1245</v>
      </c>
      <c r="B49" s="149" t="s">
        <v>1246</v>
      </c>
    </row>
    <row r="50" ht="15.75" customHeight="1">
      <c r="A50" s="148" t="s">
        <v>1247</v>
      </c>
      <c r="B50" s="149" t="s">
        <v>1248</v>
      </c>
    </row>
    <row r="51" ht="15.75" customHeight="1">
      <c r="A51" s="148" t="s">
        <v>1249</v>
      </c>
      <c r="B51" s="149" t="s">
        <v>1250</v>
      </c>
    </row>
    <row r="52" ht="15.75" customHeight="1">
      <c r="A52" s="148" t="s">
        <v>1251</v>
      </c>
      <c r="B52" s="149" t="s">
        <v>1252</v>
      </c>
    </row>
    <row r="53" ht="15.75" customHeight="1">
      <c r="A53" s="148" t="s">
        <v>256</v>
      </c>
      <c r="B53" s="149" t="s">
        <v>1253</v>
      </c>
    </row>
    <row r="54" ht="15.75" customHeight="1">
      <c r="A54" s="148" t="s">
        <v>1254</v>
      </c>
      <c r="B54" s="149" t="s">
        <v>1255</v>
      </c>
    </row>
    <row r="55" ht="15.75" customHeight="1">
      <c r="A55" s="148" t="s">
        <v>1256</v>
      </c>
      <c r="B55" s="149" t="s">
        <v>1257</v>
      </c>
    </row>
    <row r="56" ht="15.75" customHeight="1">
      <c r="A56" s="148" t="s">
        <v>1258</v>
      </c>
      <c r="B56" s="149" t="s">
        <v>1259</v>
      </c>
    </row>
    <row r="57" ht="15.75" customHeight="1">
      <c r="A57" s="148" t="s">
        <v>287</v>
      </c>
      <c r="B57" s="149" t="s">
        <v>1260</v>
      </c>
    </row>
    <row r="58" ht="15.75" customHeight="1">
      <c r="A58" s="148" t="s">
        <v>424</v>
      </c>
      <c r="B58" s="149" t="s">
        <v>1261</v>
      </c>
    </row>
    <row r="59" ht="15.75" customHeight="1">
      <c r="A59" s="148" t="s">
        <v>1262</v>
      </c>
      <c r="B59" s="149" t="s">
        <v>1263</v>
      </c>
    </row>
    <row r="60" ht="15.75" customHeight="1">
      <c r="A60" s="148" t="s">
        <v>290</v>
      </c>
      <c r="B60" s="149" t="s">
        <v>1264</v>
      </c>
    </row>
    <row r="61" ht="15.75" customHeight="1">
      <c r="A61" s="148" t="s">
        <v>1265</v>
      </c>
      <c r="B61" s="149" t="s">
        <v>1266</v>
      </c>
    </row>
    <row r="62" ht="15.75" customHeight="1">
      <c r="A62" s="148" t="s">
        <v>516</v>
      </c>
      <c r="B62" s="149" t="s">
        <v>1267</v>
      </c>
    </row>
    <row r="63" ht="15.75" customHeight="1">
      <c r="A63" s="148" t="s">
        <v>716</v>
      </c>
      <c r="B63" s="149" t="s">
        <v>1268</v>
      </c>
    </row>
    <row r="64" ht="15.75" customHeight="1">
      <c r="A64" s="148" t="s">
        <v>1269</v>
      </c>
      <c r="B64" s="149" t="s">
        <v>1270</v>
      </c>
    </row>
    <row r="65" ht="15.75" customHeight="1">
      <c r="A65" s="148" t="s">
        <v>1271</v>
      </c>
      <c r="B65" s="149" t="s">
        <v>1272</v>
      </c>
    </row>
    <row r="66" ht="15.75" customHeight="1">
      <c r="A66" s="148" t="s">
        <v>1273</v>
      </c>
      <c r="B66" s="149" t="s">
        <v>1274</v>
      </c>
    </row>
    <row r="67" ht="15.75" customHeight="1">
      <c r="A67" s="148" t="s">
        <v>280</v>
      </c>
      <c r="B67" s="149" t="s">
        <v>1275</v>
      </c>
    </row>
    <row r="68" ht="15.75" customHeight="1">
      <c r="A68" s="148" t="s">
        <v>461</v>
      </c>
      <c r="B68" s="149" t="s">
        <v>1276</v>
      </c>
    </row>
    <row r="69" ht="15.75" customHeight="1">
      <c r="A69" s="148" t="s">
        <v>1277</v>
      </c>
      <c r="B69" s="149" t="s">
        <v>1278</v>
      </c>
    </row>
    <row r="70" ht="15.75" customHeight="1">
      <c r="A70" s="148" t="s">
        <v>885</v>
      </c>
      <c r="B70" s="149" t="s">
        <v>1279</v>
      </c>
    </row>
    <row r="71" ht="15.75" customHeight="1">
      <c r="A71" s="148" t="s">
        <v>692</v>
      </c>
      <c r="B71" s="149" t="s">
        <v>1280</v>
      </c>
    </row>
    <row r="72" ht="15.75" customHeight="1">
      <c r="A72" s="148" t="s">
        <v>611</v>
      </c>
      <c r="B72" s="149" t="s">
        <v>1281</v>
      </c>
    </row>
    <row r="73" ht="15.75" customHeight="1">
      <c r="A73" s="148" t="s">
        <v>1282</v>
      </c>
      <c r="B73" s="149" t="s">
        <v>1283</v>
      </c>
    </row>
    <row r="74" ht="15.75" customHeight="1">
      <c r="A74" s="148" t="s">
        <v>1284</v>
      </c>
      <c r="B74" s="149" t="s">
        <v>1285</v>
      </c>
    </row>
    <row r="75" ht="15.75" customHeight="1">
      <c r="A75" s="148" t="s">
        <v>1286</v>
      </c>
      <c r="B75" s="149" t="s">
        <v>1287</v>
      </c>
    </row>
    <row r="76" ht="15.75" customHeight="1">
      <c r="A76" s="148" t="s">
        <v>1288</v>
      </c>
      <c r="B76" s="149" t="s">
        <v>1289</v>
      </c>
    </row>
    <row r="77" ht="15.75" customHeight="1">
      <c r="A77" s="148" t="s">
        <v>1290</v>
      </c>
      <c r="B77" s="149" t="s">
        <v>1291</v>
      </c>
    </row>
    <row r="78" ht="15.75" customHeight="1">
      <c r="A78" s="148" t="s">
        <v>1292</v>
      </c>
      <c r="B78" s="149" t="s">
        <v>1293</v>
      </c>
    </row>
    <row r="79" ht="15.75" customHeight="1">
      <c r="A79" s="148" t="s">
        <v>1294</v>
      </c>
      <c r="B79" s="149" t="s">
        <v>1295</v>
      </c>
    </row>
    <row r="80" ht="15.75" customHeight="1">
      <c r="A80" s="148" t="s">
        <v>1296</v>
      </c>
      <c r="B80" s="149" t="s">
        <v>1297</v>
      </c>
    </row>
    <row r="81" ht="15.75" customHeight="1">
      <c r="A81" s="148" t="s">
        <v>206</v>
      </c>
      <c r="B81" s="149" t="s">
        <v>1298</v>
      </c>
    </row>
    <row r="82" ht="15.75" customHeight="1">
      <c r="A82" s="148" t="s">
        <v>1299</v>
      </c>
      <c r="B82" s="149" t="s">
        <v>1300</v>
      </c>
    </row>
    <row r="83" ht="15.75" customHeight="1">
      <c r="A83" s="148" t="s">
        <v>1301</v>
      </c>
      <c r="B83" s="149" t="s">
        <v>1302</v>
      </c>
    </row>
    <row r="84" ht="15.75" customHeight="1">
      <c r="A84" s="148" t="s">
        <v>1303</v>
      </c>
      <c r="B84" s="149" t="s">
        <v>1304</v>
      </c>
    </row>
    <row r="85" ht="15.75" customHeight="1">
      <c r="A85" s="148" t="s">
        <v>584</v>
      </c>
      <c r="B85" s="149" t="s">
        <v>1305</v>
      </c>
    </row>
    <row r="86" ht="15.75" customHeight="1">
      <c r="A86" s="148" t="s">
        <v>1306</v>
      </c>
      <c r="B86" s="149" t="s">
        <v>1307</v>
      </c>
    </row>
    <row r="87" ht="15.75" customHeight="1">
      <c r="A87" s="148" t="s">
        <v>1308</v>
      </c>
      <c r="B87" s="149" t="s">
        <v>1309</v>
      </c>
    </row>
    <row r="88" ht="15.75" customHeight="1">
      <c r="A88" s="148" t="s">
        <v>826</v>
      </c>
      <c r="B88" s="149" t="s">
        <v>1310</v>
      </c>
    </row>
    <row r="89" ht="15.75" customHeight="1">
      <c r="A89" s="148" t="s">
        <v>1311</v>
      </c>
      <c r="B89" s="149" t="s">
        <v>1312</v>
      </c>
    </row>
    <row r="90" ht="15.75" customHeight="1">
      <c r="A90" s="148" t="s">
        <v>1313</v>
      </c>
      <c r="B90" s="149" t="s">
        <v>1314</v>
      </c>
    </row>
    <row r="91" ht="15.75" customHeight="1">
      <c r="A91" s="148" t="s">
        <v>1315</v>
      </c>
      <c r="B91" s="149" t="s">
        <v>1316</v>
      </c>
    </row>
    <row r="92" ht="15.75" customHeight="1">
      <c r="A92" s="148" t="s">
        <v>1317</v>
      </c>
      <c r="B92" s="149" t="s">
        <v>1318</v>
      </c>
    </row>
    <row r="93" ht="15.75" customHeight="1">
      <c r="A93" s="148" t="s">
        <v>211</v>
      </c>
      <c r="B93" s="149" t="s">
        <v>1319</v>
      </c>
    </row>
    <row r="94" ht="15.75" customHeight="1">
      <c r="A94" s="148" t="s">
        <v>188</v>
      </c>
      <c r="B94" s="149" t="s">
        <v>1320</v>
      </c>
    </row>
    <row r="95" ht="15.75" customHeight="1">
      <c r="A95" s="148" t="s">
        <v>1321</v>
      </c>
      <c r="B95" s="149" t="s">
        <v>1322</v>
      </c>
    </row>
    <row r="96" ht="15.75" customHeight="1">
      <c r="A96" s="148" t="s">
        <v>971</v>
      </c>
      <c r="B96" s="149" t="s">
        <v>1323</v>
      </c>
    </row>
    <row r="97" ht="15.75" customHeight="1">
      <c r="A97" s="148" t="s">
        <v>1324</v>
      </c>
      <c r="B97" s="149" t="s">
        <v>1325</v>
      </c>
    </row>
    <row r="98" ht="15.75" customHeight="1">
      <c r="A98" s="148" t="s">
        <v>1326</v>
      </c>
      <c r="B98" s="149" t="s">
        <v>1327</v>
      </c>
    </row>
    <row r="99" ht="15.75" customHeight="1">
      <c r="A99" s="148" t="s">
        <v>1328</v>
      </c>
      <c r="B99" s="149" t="s">
        <v>1329</v>
      </c>
    </row>
    <row r="100" ht="15.75" customHeight="1">
      <c r="A100" s="148" t="s">
        <v>840</v>
      </c>
      <c r="B100" s="149" t="s">
        <v>1330</v>
      </c>
    </row>
    <row r="101" ht="15.75" customHeight="1">
      <c r="A101" s="148" t="s">
        <v>1331</v>
      </c>
      <c r="B101" s="149" t="s">
        <v>1332</v>
      </c>
    </row>
    <row r="102" ht="15.75" customHeight="1">
      <c r="A102" s="148" t="s">
        <v>1333</v>
      </c>
      <c r="B102" s="149" t="s">
        <v>1334</v>
      </c>
    </row>
    <row r="103" ht="15.75" customHeight="1">
      <c r="A103" s="148" t="s">
        <v>383</v>
      </c>
      <c r="B103" s="149" t="s">
        <v>1335</v>
      </c>
    </row>
    <row r="104" ht="15.75" customHeight="1">
      <c r="A104" s="148" t="s">
        <v>175</v>
      </c>
      <c r="B104" s="149" t="s">
        <v>1336</v>
      </c>
    </row>
    <row r="105" ht="15.75" customHeight="1">
      <c r="A105" s="148" t="s">
        <v>403</v>
      </c>
      <c r="B105" s="149" t="s">
        <v>1337</v>
      </c>
    </row>
    <row r="106" ht="15.75" customHeight="1">
      <c r="A106" s="148" t="s">
        <v>415</v>
      </c>
      <c r="B106" s="149" t="s">
        <v>1338</v>
      </c>
    </row>
    <row r="107" ht="15.75" customHeight="1">
      <c r="A107" s="148" t="s">
        <v>164</v>
      </c>
      <c r="B107" s="149" t="s">
        <v>1339</v>
      </c>
    </row>
    <row r="108" ht="15.75" customHeight="1">
      <c r="A108" s="148" t="s">
        <v>1340</v>
      </c>
      <c r="B108" s="149" t="s">
        <v>1341</v>
      </c>
    </row>
    <row r="109" ht="15.75" customHeight="1">
      <c r="A109" s="148" t="s">
        <v>1342</v>
      </c>
      <c r="B109" s="149" t="s">
        <v>1343</v>
      </c>
    </row>
    <row r="110" ht="15.75" customHeight="1">
      <c r="A110" s="148" t="s">
        <v>195</v>
      </c>
      <c r="B110" s="149" t="s">
        <v>1344</v>
      </c>
    </row>
    <row r="111" ht="15.75" customHeight="1">
      <c r="A111" s="148" t="s">
        <v>1345</v>
      </c>
      <c r="B111" s="149" t="s">
        <v>1346</v>
      </c>
    </row>
    <row r="112" ht="15.75" customHeight="1">
      <c r="A112" s="148" t="s">
        <v>953</v>
      </c>
      <c r="B112" s="149" t="s">
        <v>1347</v>
      </c>
    </row>
    <row r="113" ht="15.75" customHeight="1">
      <c r="A113" s="148" t="s">
        <v>1348</v>
      </c>
      <c r="B113" s="149" t="s">
        <v>1349</v>
      </c>
    </row>
    <row r="114" ht="15.75" customHeight="1">
      <c r="A114" s="148" t="s">
        <v>1350</v>
      </c>
      <c r="B114" s="149" t="s">
        <v>1351</v>
      </c>
    </row>
    <row r="115" ht="15.75" customHeight="1">
      <c r="A115" s="150" t="s">
        <v>493</v>
      </c>
      <c r="B115" s="9" t="s">
        <v>1352</v>
      </c>
    </row>
    <row r="116" ht="15.75" customHeight="1">
      <c r="A116" s="32" t="s">
        <v>1353</v>
      </c>
      <c r="B116" s="9" t="s">
        <v>1354</v>
      </c>
    </row>
    <row r="117" ht="15.75" customHeight="1">
      <c r="A117" s="73" t="s">
        <v>321</v>
      </c>
      <c r="B117" s="9" t="s">
        <v>1355</v>
      </c>
    </row>
    <row r="118" ht="15.75" customHeight="1">
      <c r="A118" s="73" t="s">
        <v>335</v>
      </c>
      <c r="B118" s="9" t="s">
        <v>1356</v>
      </c>
    </row>
    <row r="119" ht="15.75" customHeight="1">
      <c r="A119" s="32" t="s">
        <v>506</v>
      </c>
      <c r="B119" s="151" t="s">
        <v>1357</v>
      </c>
    </row>
    <row r="120" ht="15.75" customHeight="1">
      <c r="A120" s="32" t="s">
        <v>279</v>
      </c>
      <c r="B120" s="151" t="s">
        <v>1358</v>
      </c>
    </row>
    <row r="121" ht="15.75" customHeight="1">
      <c r="A121" s="32" t="s">
        <v>604</v>
      </c>
      <c r="B121" s="151" t="s">
        <v>1359</v>
      </c>
    </row>
    <row r="122" ht="15.75" customHeight="1">
      <c r="A122" s="32" t="s">
        <v>806</v>
      </c>
      <c r="B122" s="151" t="s">
        <v>1360</v>
      </c>
    </row>
    <row r="123" ht="15.75" customHeight="1">
      <c r="A123" s="32" t="s">
        <v>299</v>
      </c>
      <c r="B123" s="151" t="s">
        <v>1361</v>
      </c>
    </row>
    <row r="124" ht="15.75" customHeight="1">
      <c r="A124" s="32" t="s">
        <v>361</v>
      </c>
      <c r="B124" s="151" t="s">
        <v>1362</v>
      </c>
    </row>
    <row r="125" ht="15.75" customHeight="1">
      <c r="A125" s="32" t="s">
        <v>291</v>
      </c>
      <c r="B125" s="151" t="s">
        <v>1363</v>
      </c>
    </row>
    <row r="126" ht="15.75" customHeight="1">
      <c r="A126" s="32" t="s">
        <v>1364</v>
      </c>
      <c r="B126" s="151" t="s">
        <v>1365</v>
      </c>
    </row>
    <row r="127" ht="15.75" customHeight="1">
      <c r="A127" s="32" t="s">
        <v>618</v>
      </c>
      <c r="B127" s="151" t="s">
        <v>1366</v>
      </c>
    </row>
    <row r="128" ht="15.75" customHeight="1">
      <c r="A128" s="32" t="s">
        <v>174</v>
      </c>
      <c r="B128" s="151" t="s">
        <v>1367</v>
      </c>
    </row>
    <row r="129" ht="15.75" customHeight="1">
      <c r="A129" s="32" t="s">
        <v>1368</v>
      </c>
      <c r="B129" s="151" t="s">
        <v>1369</v>
      </c>
    </row>
    <row r="130" ht="15.75" customHeight="1">
      <c r="A130" s="32" t="s">
        <v>274</v>
      </c>
      <c r="B130" s="151" t="s">
        <v>1370</v>
      </c>
    </row>
    <row r="131" ht="15.75" customHeight="1">
      <c r="A131" s="32" t="s">
        <v>160</v>
      </c>
      <c r="B131" s="151" t="s">
        <v>1371</v>
      </c>
    </row>
    <row r="132" ht="15.75" customHeight="1">
      <c r="A132" s="32" t="s">
        <v>182</v>
      </c>
      <c r="B132" s="151" t="s">
        <v>1372</v>
      </c>
    </row>
    <row r="133" ht="15.75" customHeight="1">
      <c r="A133" s="32" t="s">
        <v>1373</v>
      </c>
      <c r="B133" s="151" t="s">
        <v>1374</v>
      </c>
    </row>
    <row r="134" ht="15.75" customHeight="1">
      <c r="A134" s="32" t="s">
        <v>318</v>
      </c>
      <c r="B134" s="151" t="s">
        <v>1375</v>
      </c>
    </row>
    <row r="135" ht="15.75" customHeight="1">
      <c r="A135" s="32" t="s">
        <v>861</v>
      </c>
      <c r="B135" s="151" t="s">
        <v>1376</v>
      </c>
    </row>
    <row r="136" ht="15.75" customHeight="1">
      <c r="A136" s="32" t="s">
        <v>169</v>
      </c>
      <c r="B136" s="151" t="s">
        <v>1377</v>
      </c>
    </row>
    <row r="137" ht="15.75" customHeight="1">
      <c r="A137" s="32" t="s">
        <v>703</v>
      </c>
      <c r="B137" s="151" t="s">
        <v>1378</v>
      </c>
    </row>
    <row r="138" ht="15.75" customHeight="1">
      <c r="A138" s="32" t="s">
        <v>952</v>
      </c>
      <c r="B138" s="151" t="s">
        <v>1379</v>
      </c>
    </row>
    <row r="139" ht="15.75" customHeight="1">
      <c r="A139" s="152" t="s">
        <v>1380</v>
      </c>
      <c r="B139" s="152" t="s">
        <v>1381</v>
      </c>
    </row>
    <row r="140" ht="15.75" customHeight="1">
      <c r="A140" s="152" t="s">
        <v>286</v>
      </c>
      <c r="B140" s="152" t="s">
        <v>1382</v>
      </c>
    </row>
    <row r="141" ht="15.75" customHeight="1">
      <c r="A141" s="152" t="s">
        <v>1383</v>
      </c>
      <c r="B141" s="152" t="s">
        <v>1384</v>
      </c>
    </row>
    <row r="142" ht="15.75" customHeight="1">
      <c r="A142" s="152" t="s">
        <v>1385</v>
      </c>
      <c r="B142" s="152" t="s">
        <v>1386</v>
      </c>
    </row>
    <row r="143" ht="15.75" customHeight="1">
      <c r="A143" s="152" t="s">
        <v>254</v>
      </c>
      <c r="B143" s="152" t="s">
        <v>1387</v>
      </c>
    </row>
    <row r="144" ht="15.75" customHeight="1">
      <c r="A144" s="152" t="s">
        <v>1388</v>
      </c>
      <c r="B144" s="152" t="s">
        <v>1389</v>
      </c>
    </row>
    <row r="145" ht="15.75" customHeight="1">
      <c r="A145" s="152" t="s">
        <v>1390</v>
      </c>
      <c r="B145" s="152" t="s">
        <v>1391</v>
      </c>
    </row>
    <row r="146" ht="15.75" customHeight="1">
      <c r="A146" s="152" t="s">
        <v>1392</v>
      </c>
      <c r="B146" s="152" t="s">
        <v>1393</v>
      </c>
    </row>
    <row r="147" ht="15.75" customHeight="1">
      <c r="A147" s="152" t="s">
        <v>1394</v>
      </c>
      <c r="B147" s="152" t="s">
        <v>1395</v>
      </c>
    </row>
    <row r="148" ht="15.75" customHeight="1">
      <c r="A148" s="152" t="s">
        <v>1396</v>
      </c>
      <c r="B148" s="152" t="s">
        <v>1397</v>
      </c>
    </row>
    <row r="149" ht="15.75" customHeight="1">
      <c r="A149" s="152" t="s">
        <v>1398</v>
      </c>
      <c r="B149" s="152" t="s">
        <v>1399</v>
      </c>
    </row>
    <row r="150" ht="15.75" customHeight="1">
      <c r="A150" s="152" t="s">
        <v>1400</v>
      </c>
      <c r="B150" s="152" t="s">
        <v>1401</v>
      </c>
    </row>
    <row r="151" ht="15.75" customHeight="1">
      <c r="A151" s="152" t="s">
        <v>800</v>
      </c>
      <c r="B151" s="152" t="s">
        <v>1402</v>
      </c>
    </row>
    <row r="152" ht="15.75" customHeight="1">
      <c r="A152" s="152" t="s">
        <v>165</v>
      </c>
      <c r="B152" s="152" t="s">
        <v>1403</v>
      </c>
    </row>
    <row r="153" ht="15.75" customHeight="1">
      <c r="A153" s="152" t="s">
        <v>1404</v>
      </c>
      <c r="B153" s="152" t="s">
        <v>1405</v>
      </c>
    </row>
    <row r="154" ht="15.75" customHeight="1">
      <c r="A154" s="152" t="s">
        <v>1406</v>
      </c>
      <c r="B154" s="152" t="s">
        <v>1407</v>
      </c>
    </row>
    <row r="155" ht="15.75" customHeight="1">
      <c r="A155" s="152" t="s">
        <v>1408</v>
      </c>
      <c r="B155" s="152" t="s">
        <v>1409</v>
      </c>
    </row>
    <row r="156" ht="15.75" customHeight="1">
      <c r="A156" s="152" t="s">
        <v>1410</v>
      </c>
      <c r="B156" s="152" t="s">
        <v>1411</v>
      </c>
    </row>
    <row r="157" ht="15.75" customHeight="1">
      <c r="A157" s="152" t="s">
        <v>1412</v>
      </c>
      <c r="B157" s="152" t="s">
        <v>1413</v>
      </c>
    </row>
    <row r="158" ht="15.75" customHeight="1">
      <c r="A158" s="152" t="s">
        <v>1414</v>
      </c>
      <c r="B158" s="152" t="s">
        <v>1415</v>
      </c>
    </row>
    <row r="159" ht="15.75" customHeight="1">
      <c r="A159" s="152" t="s">
        <v>1416</v>
      </c>
      <c r="B159" s="152" t="s">
        <v>1417</v>
      </c>
    </row>
    <row r="160" ht="15.75" customHeight="1">
      <c r="A160" s="152" t="s">
        <v>1418</v>
      </c>
      <c r="B160" s="152" t="s">
        <v>1419</v>
      </c>
    </row>
    <row r="161" ht="15.75" customHeight="1">
      <c r="A161" s="152" t="s">
        <v>1420</v>
      </c>
      <c r="B161" s="152" t="s">
        <v>1421</v>
      </c>
    </row>
    <row r="162" ht="15.75" customHeight="1">
      <c r="A162" s="152" t="s">
        <v>1422</v>
      </c>
      <c r="B162" s="152" t="s">
        <v>1423</v>
      </c>
    </row>
    <row r="163" ht="15.75" customHeight="1">
      <c r="A163" s="152" t="s">
        <v>322</v>
      </c>
      <c r="B163" s="152" t="s">
        <v>1424</v>
      </c>
    </row>
    <row r="164" ht="15.75" customHeight="1">
      <c r="A164" s="152" t="s">
        <v>612</v>
      </c>
      <c r="B164" s="152" t="s">
        <v>1425</v>
      </c>
    </row>
    <row r="165" ht="15.75" customHeight="1">
      <c r="A165" s="152" t="s">
        <v>1426</v>
      </c>
      <c r="B165" s="152" t="s">
        <v>1427</v>
      </c>
    </row>
    <row r="166" ht="15.75" customHeight="1">
      <c r="A166" s="152" t="s">
        <v>305</v>
      </c>
      <c r="B166" s="152" t="s">
        <v>1428</v>
      </c>
    </row>
    <row r="167" ht="15.75" customHeight="1">
      <c r="A167" s="152" t="s">
        <v>619</v>
      </c>
      <c r="B167" s="152" t="s">
        <v>1429</v>
      </c>
    </row>
    <row r="168" ht="15.75" customHeight="1">
      <c r="A168" s="152" t="s">
        <v>871</v>
      </c>
      <c r="B168" s="152" t="s">
        <v>1430</v>
      </c>
    </row>
    <row r="169" ht="15.75" customHeight="1">
      <c r="A169" s="152" t="s">
        <v>1431</v>
      </c>
      <c r="B169" s="152" t="s">
        <v>1432</v>
      </c>
    </row>
    <row r="170" ht="15.75" customHeight="1">
      <c r="A170" s="152" t="s">
        <v>1433</v>
      </c>
      <c r="B170" s="152" t="s">
        <v>1434</v>
      </c>
    </row>
    <row r="171" ht="15.75" customHeight="1">
      <c r="A171" s="152" t="s">
        <v>1435</v>
      </c>
      <c r="B171" s="152" t="s">
        <v>1436</v>
      </c>
    </row>
    <row r="172" ht="15.75" customHeight="1">
      <c r="A172" s="152" t="s">
        <v>1437</v>
      </c>
      <c r="B172" s="152" t="s">
        <v>1438</v>
      </c>
    </row>
    <row r="173" ht="15.75" customHeight="1">
      <c r="A173" s="152" t="s">
        <v>494</v>
      </c>
      <c r="B173" s="152" t="s">
        <v>1439</v>
      </c>
    </row>
    <row r="174" ht="15.75" customHeight="1">
      <c r="A174" s="152" t="s">
        <v>489</v>
      </c>
      <c r="B174" s="152" t="s">
        <v>1440</v>
      </c>
    </row>
    <row r="175" ht="15.75" customHeight="1">
      <c r="A175" s="152" t="s">
        <v>561</v>
      </c>
      <c r="B175" s="152" t="s">
        <v>1441</v>
      </c>
    </row>
    <row r="176" ht="15.75" customHeight="1">
      <c r="A176" s="152" t="s">
        <v>639</v>
      </c>
      <c r="B176" s="152" t="s">
        <v>1442</v>
      </c>
    </row>
    <row r="177" ht="15.75" customHeight="1">
      <c r="A177" s="152" t="s">
        <v>693</v>
      </c>
      <c r="B177" s="152" t="s">
        <v>1443</v>
      </c>
    </row>
    <row r="178" ht="15.75" customHeight="1">
      <c r="A178" s="152" t="s">
        <v>450</v>
      </c>
      <c r="B178" s="152" t="s">
        <v>1444</v>
      </c>
    </row>
    <row r="179" ht="15.75" customHeight="1">
      <c r="A179" s="152" t="s">
        <v>827</v>
      </c>
      <c r="B179" s="152" t="s">
        <v>1445</v>
      </c>
    </row>
    <row r="180" ht="15.75" customHeight="1">
      <c r="A180" s="152" t="s">
        <v>913</v>
      </c>
      <c r="B180" s="152" t="s">
        <v>1446</v>
      </c>
    </row>
    <row r="181" ht="15.75" customHeight="1">
      <c r="A181" s="152" t="s">
        <v>835</v>
      </c>
      <c r="B181" s="152" t="s">
        <v>1447</v>
      </c>
    </row>
    <row r="182" ht="15.75" customHeight="1">
      <c r="A182" s="152" t="s">
        <v>425</v>
      </c>
      <c r="B182" s="152" t="s">
        <v>1448</v>
      </c>
    </row>
    <row r="183" ht="15.75" customHeight="1">
      <c r="A183" s="152" t="s">
        <v>529</v>
      </c>
      <c r="B183" s="152" t="s">
        <v>1449</v>
      </c>
    </row>
    <row r="184" ht="15.75" customHeight="1">
      <c r="A184" s="152" t="s">
        <v>1450</v>
      </c>
      <c r="B184" s="152" t="s">
        <v>1451</v>
      </c>
    </row>
    <row r="185" ht="15.75" customHeight="1">
      <c r="A185" s="152" t="s">
        <v>1452</v>
      </c>
      <c r="B185" s="152" t="s">
        <v>1453</v>
      </c>
    </row>
    <row r="186" ht="15.75" customHeight="1">
      <c r="A186" s="152" t="s">
        <v>1454</v>
      </c>
      <c r="B186" s="152" t="s">
        <v>1455</v>
      </c>
    </row>
    <row r="187" ht="15.75" customHeight="1">
      <c r="A187" s="152" t="s">
        <v>1456</v>
      </c>
      <c r="B187" s="152" t="s">
        <v>1457</v>
      </c>
    </row>
    <row r="188" ht="15.75" customHeight="1">
      <c r="A188" s="152" t="s">
        <v>176</v>
      </c>
      <c r="B188" s="152" t="s">
        <v>1458</v>
      </c>
    </row>
    <row r="189" ht="15.75" customHeight="1">
      <c r="A189" s="152" t="s">
        <v>1459</v>
      </c>
      <c r="B189" s="152" t="s">
        <v>1460</v>
      </c>
    </row>
    <row r="190" ht="15.75" customHeight="1">
      <c r="A190" s="152" t="s">
        <v>856</v>
      </c>
      <c r="B190" s="152" t="s">
        <v>1461</v>
      </c>
    </row>
    <row r="191" ht="15.75" customHeight="1">
      <c r="A191" s="152" t="s">
        <v>807</v>
      </c>
      <c r="B191" s="152" t="s">
        <v>1462</v>
      </c>
    </row>
    <row r="192" ht="15.75" customHeight="1">
      <c r="A192" s="152" t="s">
        <v>1463</v>
      </c>
      <c r="B192" s="152" t="s">
        <v>1464</v>
      </c>
    </row>
    <row r="193" ht="15.75" customHeight="1">
      <c r="A193" s="152" t="s">
        <v>1465</v>
      </c>
      <c r="B193" s="152" t="s">
        <v>1466</v>
      </c>
    </row>
    <row r="194" ht="15.75" customHeight="1">
      <c r="A194" s="152" t="s">
        <v>363</v>
      </c>
      <c r="B194" s="152" t="s">
        <v>1467</v>
      </c>
    </row>
    <row r="195" ht="15.75" customHeight="1">
      <c r="A195" s="152" t="s">
        <v>1468</v>
      </c>
      <c r="B195" s="152" t="s">
        <v>1469</v>
      </c>
    </row>
    <row r="196" ht="15.75" customHeight="1">
      <c r="A196" s="152" t="s">
        <v>275</v>
      </c>
      <c r="B196" s="152" t="s">
        <v>1470</v>
      </c>
    </row>
    <row r="197" ht="15.75" customHeight="1">
      <c r="A197" s="152" t="s">
        <v>910</v>
      </c>
      <c r="B197" s="152" t="s">
        <v>1471</v>
      </c>
    </row>
    <row r="198" ht="15.75" customHeight="1">
      <c r="A198" s="152" t="s">
        <v>1472</v>
      </c>
      <c r="B198" s="152" t="s">
        <v>1473</v>
      </c>
    </row>
    <row r="199" ht="15.75" customHeight="1">
      <c r="A199" s="152" t="s">
        <v>1474</v>
      </c>
      <c r="B199" s="152" t="s">
        <v>1475</v>
      </c>
    </row>
    <row r="200" ht="15.75" customHeight="1">
      <c r="A200" s="152" t="s">
        <v>1476</v>
      </c>
      <c r="B200" s="152" t="s">
        <v>1477</v>
      </c>
    </row>
    <row r="201" ht="15.75" customHeight="1">
      <c r="A201" s="152" t="s">
        <v>1478</v>
      </c>
      <c r="B201" s="152" t="s">
        <v>1479</v>
      </c>
    </row>
    <row r="202" ht="15.75" customHeight="1">
      <c r="A202" s="152" t="s">
        <v>1480</v>
      </c>
      <c r="B202" s="152" t="s">
        <v>1481</v>
      </c>
    </row>
    <row r="203" ht="15.75" customHeight="1">
      <c r="A203" s="152" t="s">
        <v>704</v>
      </c>
      <c r="B203" s="152" t="s">
        <v>1482</v>
      </c>
    </row>
    <row r="204" ht="15.75" customHeight="1">
      <c r="A204" s="152" t="s">
        <v>786</v>
      </c>
      <c r="B204" s="152" t="s">
        <v>1483</v>
      </c>
    </row>
    <row r="205" ht="15.75" customHeight="1">
      <c r="A205" s="152" t="s">
        <v>1484</v>
      </c>
      <c r="B205" s="152" t="s">
        <v>1485</v>
      </c>
    </row>
    <row r="206" ht="15.75" customHeight="1">
      <c r="A206" s="152" t="s">
        <v>1486</v>
      </c>
      <c r="B206" s="152" t="s">
        <v>1487</v>
      </c>
    </row>
    <row r="207" ht="15.75" customHeight="1">
      <c r="A207" s="152" t="s">
        <v>1488</v>
      </c>
      <c r="B207" s="152" t="s">
        <v>1489</v>
      </c>
    </row>
    <row r="208" ht="15.75" customHeight="1">
      <c r="A208" s="152" t="s">
        <v>1490</v>
      </c>
      <c r="B208" s="152" t="s">
        <v>1491</v>
      </c>
    </row>
    <row r="209" ht="15.75" customHeight="1">
      <c r="A209" s="152" t="s">
        <v>741</v>
      </c>
      <c r="B209" s="152" t="s">
        <v>1492</v>
      </c>
    </row>
    <row r="210" ht="15.75" customHeight="1">
      <c r="A210" s="152" t="s">
        <v>929</v>
      </c>
      <c r="B210" s="152" t="s">
        <v>1493</v>
      </c>
    </row>
    <row r="211" ht="15.75" customHeight="1">
      <c r="A211" s="152" t="s">
        <v>1494</v>
      </c>
      <c r="B211" s="152" t="s">
        <v>1495</v>
      </c>
    </row>
    <row r="212" ht="15.75" customHeight="1">
      <c r="A212" s="152" t="s">
        <v>1496</v>
      </c>
      <c r="B212" s="152" t="s">
        <v>1497</v>
      </c>
    </row>
    <row r="213" ht="15.75" customHeight="1">
      <c r="A213" s="152" t="s">
        <v>1498</v>
      </c>
      <c r="B213" s="152" t="s">
        <v>1499</v>
      </c>
    </row>
    <row r="214" ht="15.75" customHeight="1">
      <c r="A214" s="152" t="s">
        <v>1500</v>
      </c>
      <c r="B214" s="152" t="s">
        <v>1501</v>
      </c>
    </row>
    <row r="215" ht="15.75" customHeight="1">
      <c r="A215" s="152" t="s">
        <v>1502</v>
      </c>
      <c r="B215" s="152" t="s">
        <v>1503</v>
      </c>
    </row>
    <row r="216" ht="15.75" customHeight="1">
      <c r="A216" s="152" t="s">
        <v>1504</v>
      </c>
      <c r="B216" s="152" t="s">
        <v>1505</v>
      </c>
    </row>
    <row r="217" ht="15.75" customHeight="1">
      <c r="A217" s="152" t="s">
        <v>1506</v>
      </c>
      <c r="B217" s="152" t="s">
        <v>1507</v>
      </c>
    </row>
    <row r="218" ht="15.75" customHeight="1">
      <c r="A218" s="152" t="s">
        <v>1508</v>
      </c>
      <c r="B218" s="152" t="s">
        <v>1509</v>
      </c>
    </row>
    <row r="219" ht="15.75" customHeight="1">
      <c r="A219" s="152" t="s">
        <v>1510</v>
      </c>
      <c r="B219" s="152" t="s">
        <v>1511</v>
      </c>
    </row>
    <row r="220" ht="15.75" customHeight="1">
      <c r="A220" s="152" t="s">
        <v>1512</v>
      </c>
      <c r="B220" s="152" t="s">
        <v>1513</v>
      </c>
    </row>
    <row r="221" ht="15.75" customHeight="1">
      <c r="A221" s="152" t="s">
        <v>1514</v>
      </c>
      <c r="B221" s="152" t="s">
        <v>1515</v>
      </c>
    </row>
    <row r="222" ht="15.75" customHeight="1">
      <c r="A222" s="152" t="s">
        <v>1516</v>
      </c>
      <c r="B222" s="152" t="s">
        <v>1517</v>
      </c>
    </row>
    <row r="223" ht="15.75" customHeight="1">
      <c r="A223" s="152" t="s">
        <v>1518</v>
      </c>
      <c r="B223" s="152" t="s">
        <v>1519</v>
      </c>
    </row>
    <row r="224" ht="15.75" customHeight="1">
      <c r="A224" s="152" t="s">
        <v>1520</v>
      </c>
      <c r="B224" s="152" t="s">
        <v>1521</v>
      </c>
    </row>
    <row r="225" ht="15.75" customHeight="1">
      <c r="A225" s="152" t="s">
        <v>1522</v>
      </c>
      <c r="B225" s="152" t="s">
        <v>1523</v>
      </c>
    </row>
    <row r="226" ht="15.75" customHeight="1">
      <c r="A226" s="152" t="s">
        <v>1524</v>
      </c>
      <c r="B226" s="152" t="s">
        <v>1525</v>
      </c>
    </row>
    <row r="227" ht="15.75" customHeight="1">
      <c r="A227" s="152" t="s">
        <v>1526</v>
      </c>
      <c r="B227" s="152" t="s">
        <v>1527</v>
      </c>
    </row>
    <row r="228" ht="15.75" customHeight="1">
      <c r="A228" s="152" t="s">
        <v>1528</v>
      </c>
      <c r="B228" s="152" t="s">
        <v>1529</v>
      </c>
    </row>
    <row r="229" ht="15.75" customHeight="1">
      <c r="A229" s="152" t="s">
        <v>1530</v>
      </c>
      <c r="B229" s="152" t="s">
        <v>1531</v>
      </c>
    </row>
    <row r="230" ht="15.75" customHeight="1">
      <c r="A230" s="152" t="s">
        <v>1532</v>
      </c>
      <c r="B230" s="152" t="s">
        <v>1533</v>
      </c>
    </row>
    <row r="231" ht="15.75" customHeight="1">
      <c r="A231" s="152" t="s">
        <v>1534</v>
      </c>
      <c r="B231" s="152" t="s">
        <v>1535</v>
      </c>
    </row>
    <row r="232" ht="15.75" customHeight="1">
      <c r="A232" s="152" t="s">
        <v>1536</v>
      </c>
      <c r="B232" s="152" t="s">
        <v>1537</v>
      </c>
    </row>
    <row r="233" ht="15.75" customHeight="1">
      <c r="A233" s="152" t="s">
        <v>1538</v>
      </c>
      <c r="B233" s="152" t="s">
        <v>1539</v>
      </c>
    </row>
    <row r="234" ht="15.75" customHeight="1">
      <c r="A234" s="152" t="s">
        <v>1540</v>
      </c>
      <c r="B234" s="152" t="s">
        <v>1541</v>
      </c>
    </row>
    <row r="235" ht="15.75" customHeight="1">
      <c r="A235" s="152" t="s">
        <v>1542</v>
      </c>
      <c r="B235" s="152" t="s">
        <v>1543</v>
      </c>
    </row>
    <row r="236" ht="15.75" customHeight="1">
      <c r="A236" s="152" t="s">
        <v>1544</v>
      </c>
      <c r="B236" s="152" t="s">
        <v>1545</v>
      </c>
    </row>
    <row r="237" ht="15.75" customHeight="1">
      <c r="A237" s="32" t="s">
        <v>269</v>
      </c>
      <c r="B237" s="151" t="s">
        <v>1546</v>
      </c>
    </row>
    <row r="238" ht="15.75" customHeight="1">
      <c r="A238" s="32" t="s">
        <v>288</v>
      </c>
      <c r="B238" s="151" t="s">
        <v>1547</v>
      </c>
    </row>
    <row r="239" ht="15.75" customHeight="1">
      <c r="A239" s="32" t="s">
        <v>348</v>
      </c>
      <c r="B239" s="151" t="s">
        <v>1548</v>
      </c>
    </row>
    <row r="240" ht="15.75" customHeight="1">
      <c r="A240" s="32" t="s">
        <v>477</v>
      </c>
      <c r="B240" s="151" t="s">
        <v>1549</v>
      </c>
    </row>
    <row r="241" ht="15.75" customHeight="1">
      <c r="A241" s="32" t="s">
        <v>594</v>
      </c>
      <c r="B241" s="151" t="s">
        <v>1550</v>
      </c>
    </row>
    <row r="242" ht="15.75" customHeight="1">
      <c r="A242" s="32" t="s">
        <v>719</v>
      </c>
      <c r="B242" s="151" t="s">
        <v>1551</v>
      </c>
    </row>
    <row r="243" ht="15.75" customHeight="1">
      <c r="A243" s="32" t="s">
        <v>774</v>
      </c>
      <c r="B243" s="151" t="s">
        <v>1552</v>
      </c>
    </row>
    <row r="244" ht="15.75" customHeight="1">
      <c r="A244" s="32" t="s">
        <v>779</v>
      </c>
      <c r="B244" s="151" t="s">
        <v>1553</v>
      </c>
    </row>
    <row r="245" ht="15.75" customHeight="1">
      <c r="A245" s="32" t="s">
        <v>922</v>
      </c>
      <c r="B245" s="151" t="s">
        <v>1554</v>
      </c>
    </row>
    <row r="246" ht="15.75" customHeight="1">
      <c r="A246" s="32" t="s">
        <v>358</v>
      </c>
      <c r="B246" s="151" t="s">
        <v>1555</v>
      </c>
    </row>
    <row r="247" ht="15.75" customHeight="1">
      <c r="A247" s="32" t="s">
        <v>229</v>
      </c>
      <c r="B247" s="151" t="s">
        <v>1556</v>
      </c>
    </row>
    <row r="248" ht="15.75" customHeight="1">
      <c r="A248" s="32" t="s">
        <v>620</v>
      </c>
      <c r="B248" s="151" t="s">
        <v>1557</v>
      </c>
    </row>
    <row r="249" ht="15.75" customHeight="1">
      <c r="A249" s="32" t="s">
        <v>296</v>
      </c>
      <c r="B249" s="151" t="s">
        <v>1558</v>
      </c>
    </row>
    <row r="250" ht="15.75" customHeight="1">
      <c r="A250" s="32" t="s">
        <v>1559</v>
      </c>
      <c r="B250" s="151" t="s">
        <v>1560</v>
      </c>
    </row>
    <row r="251" ht="15.75" customHeight="1">
      <c r="A251" s="32" t="s">
        <v>1561</v>
      </c>
      <c r="B251" s="151" t="s">
        <v>1562</v>
      </c>
    </row>
    <row r="252" ht="15.75" customHeight="1">
      <c r="A252" s="32" t="s">
        <v>881</v>
      </c>
      <c r="B252" s="151" t="s">
        <v>1563</v>
      </c>
    </row>
    <row r="253" ht="15.75" customHeight="1">
      <c r="A253" s="32" t="s">
        <v>999</v>
      </c>
      <c r="B253" s="151" t="s">
        <v>1564</v>
      </c>
    </row>
    <row r="254" ht="15.75" customHeight="1">
      <c r="A254" s="32" t="s">
        <v>1565</v>
      </c>
      <c r="B254" s="151" t="s">
        <v>1566</v>
      </c>
    </row>
    <row r="255" ht="15.75" customHeight="1">
      <c r="A255" s="32" t="s">
        <v>1567</v>
      </c>
      <c r="B255" s="151" t="s">
        <v>1568</v>
      </c>
    </row>
    <row r="256" ht="15.75" customHeight="1">
      <c r="A256" s="32" t="s">
        <v>1569</v>
      </c>
      <c r="B256" s="151" t="s">
        <v>1570</v>
      </c>
    </row>
    <row r="257" ht="15.75" customHeight="1">
      <c r="A257" s="32" t="s">
        <v>1571</v>
      </c>
      <c r="B257" s="151" t="s">
        <v>1572</v>
      </c>
    </row>
    <row r="258" ht="15.75" customHeight="1">
      <c r="A258" s="32" t="s">
        <v>1573</v>
      </c>
      <c r="B258" s="151" t="s">
        <v>1574</v>
      </c>
    </row>
    <row r="259" ht="15.75" customHeight="1">
      <c r="A259" s="32" t="s">
        <v>1575</v>
      </c>
      <c r="B259" s="151" t="s">
        <v>1576</v>
      </c>
    </row>
    <row r="260" ht="15.75" customHeight="1">
      <c r="A260" s="32" t="s">
        <v>1577</v>
      </c>
      <c r="B260" s="151" t="s">
        <v>1578</v>
      </c>
    </row>
    <row r="261" ht="15.75" customHeight="1">
      <c r="A261" s="32" t="s">
        <v>1579</v>
      </c>
      <c r="B261" s="151" t="s">
        <v>1580</v>
      </c>
    </row>
    <row r="262" ht="15.75" customHeight="1">
      <c r="A262" s="32" t="s">
        <v>1581</v>
      </c>
      <c r="B262" s="151" t="s">
        <v>1582</v>
      </c>
    </row>
    <row r="263" ht="15.75" customHeight="1">
      <c r="A263" s="32" t="s">
        <v>1583</v>
      </c>
      <c r="B263" s="151" t="s">
        <v>1584</v>
      </c>
    </row>
    <row r="264" ht="15.75" customHeight="1">
      <c r="A264" s="32" t="s">
        <v>752</v>
      </c>
      <c r="B264" s="151" t="s">
        <v>1585</v>
      </c>
    </row>
    <row r="265" ht="15.75" customHeight="1">
      <c r="A265" s="32" t="s">
        <v>1586</v>
      </c>
      <c r="B265" s="151" t="s">
        <v>1587</v>
      </c>
    </row>
    <row r="266" ht="15.75" customHeight="1">
      <c r="A266" s="32" t="s">
        <v>1588</v>
      </c>
      <c r="B266" s="151" t="s">
        <v>1589</v>
      </c>
    </row>
    <row r="267" ht="15.75" customHeight="1">
      <c r="A267" s="32" t="s">
        <v>483</v>
      </c>
      <c r="B267" s="151" t="s">
        <v>1590</v>
      </c>
    </row>
    <row r="268" ht="15.75" customHeight="1">
      <c r="A268" s="32" t="s">
        <v>872</v>
      </c>
      <c r="B268" s="151" t="s">
        <v>1591</v>
      </c>
    </row>
    <row r="269" ht="15.75" customHeight="1">
      <c r="A269" s="32" t="s">
        <v>958</v>
      </c>
      <c r="B269" s="151" t="s">
        <v>1592</v>
      </c>
    </row>
    <row r="270" ht="15.75" customHeight="1">
      <c r="A270" s="32" t="s">
        <v>1593</v>
      </c>
      <c r="B270" s="151" t="s">
        <v>1594</v>
      </c>
    </row>
    <row r="271" ht="15.75" customHeight="1">
      <c r="A271" s="32" t="s">
        <v>727</v>
      </c>
      <c r="B271" s="151" t="s">
        <v>1595</v>
      </c>
    </row>
    <row r="272" ht="15.75" customHeight="1">
      <c r="A272" s="32" t="s">
        <v>1034</v>
      </c>
      <c r="B272" s="151" t="s">
        <v>1596</v>
      </c>
    </row>
    <row r="273" ht="15.75" customHeight="1">
      <c r="A273" s="32" t="s">
        <v>1597</v>
      </c>
      <c r="B273" s="151" t="s">
        <v>1598</v>
      </c>
    </row>
    <row r="274" ht="15.75" customHeight="1">
      <c r="A274" s="32" t="s">
        <v>1599</v>
      </c>
      <c r="B274" s="151" t="s">
        <v>1600</v>
      </c>
    </row>
    <row r="275" ht="15.75" customHeight="1">
      <c r="A275" s="32" t="s">
        <v>1601</v>
      </c>
      <c r="B275" s="151" t="s">
        <v>1602</v>
      </c>
    </row>
    <row r="276" ht="15.75" customHeight="1">
      <c r="A276" s="32" t="s">
        <v>1603</v>
      </c>
      <c r="B276" s="151" t="s">
        <v>1604</v>
      </c>
    </row>
    <row r="277" ht="15.75" customHeight="1">
      <c r="A277" s="32" t="s">
        <v>1605</v>
      </c>
      <c r="B277" s="151" t="s">
        <v>1606</v>
      </c>
    </row>
    <row r="278" ht="15.75" customHeight="1">
      <c r="A278" s="32" t="s">
        <v>1607</v>
      </c>
      <c r="B278" s="151" t="s">
        <v>1608</v>
      </c>
    </row>
    <row r="279" ht="15.75" customHeight="1">
      <c r="A279" s="32" t="s">
        <v>1609</v>
      </c>
      <c r="B279" s="151" t="s">
        <v>1610</v>
      </c>
    </row>
    <row r="280" ht="15.75" customHeight="1">
      <c r="A280" s="32" t="s">
        <v>1611</v>
      </c>
      <c r="B280" s="151" t="s">
        <v>1612</v>
      </c>
    </row>
    <row r="281" ht="15.75" customHeight="1">
      <c r="A281" s="32" t="s">
        <v>1613</v>
      </c>
      <c r="B281" s="151" t="s">
        <v>1614</v>
      </c>
    </row>
    <row r="282" ht="15.75" customHeight="1">
      <c r="A282" s="32" t="s">
        <v>1615</v>
      </c>
      <c r="B282" s="151" t="s">
        <v>1616</v>
      </c>
    </row>
    <row r="283" ht="15.75" customHeight="1">
      <c r="A283" s="32" t="s">
        <v>451</v>
      </c>
      <c r="B283" s="151" t="s">
        <v>1617</v>
      </c>
    </row>
    <row r="284" ht="15.75" customHeight="1">
      <c r="A284" s="32" t="s">
        <v>1618</v>
      </c>
      <c r="B284" s="151" t="s">
        <v>1619</v>
      </c>
    </row>
    <row r="285" ht="15.75" customHeight="1">
      <c r="A285" s="32" t="s">
        <v>1620</v>
      </c>
      <c r="B285" s="151" t="s">
        <v>1621</v>
      </c>
    </row>
    <row r="286" ht="15.75" customHeight="1">
      <c r="A286" s="32" t="s">
        <v>1622</v>
      </c>
      <c r="B286" s="151" t="s">
        <v>1623</v>
      </c>
    </row>
    <row r="287" ht="15.75" customHeight="1">
      <c r="A287" s="32" t="s">
        <v>1624</v>
      </c>
      <c r="B287" s="151" t="s">
        <v>1625</v>
      </c>
    </row>
    <row r="288" ht="15.75" customHeight="1">
      <c r="A288" s="32" t="s">
        <v>270</v>
      </c>
      <c r="B288" s="151" t="s">
        <v>1626</v>
      </c>
    </row>
    <row r="289" ht="15.75" customHeight="1">
      <c r="A289" s="32" t="s">
        <v>337</v>
      </c>
      <c r="B289" s="151" t="s">
        <v>1627</v>
      </c>
    </row>
    <row r="290" ht="15.75" customHeight="1">
      <c r="A290" s="32" t="s">
        <v>1628</v>
      </c>
      <c r="B290" s="151" t="s">
        <v>1629</v>
      </c>
    </row>
    <row r="291" ht="15.75" customHeight="1">
      <c r="A291" s="32" t="s">
        <v>1630</v>
      </c>
      <c r="B291" s="151" t="s">
        <v>1631</v>
      </c>
    </row>
    <row r="292" ht="15.75" customHeight="1">
      <c r="A292" s="32" t="s">
        <v>1632</v>
      </c>
      <c r="B292" s="151" t="s">
        <v>1633</v>
      </c>
    </row>
    <row r="293" ht="15.75" customHeight="1">
      <c r="A293" s="32" t="s">
        <v>1634</v>
      </c>
      <c r="B293" s="151" t="s">
        <v>1635</v>
      </c>
    </row>
    <row r="294" ht="15.75" customHeight="1">
      <c r="A294" s="32" t="s">
        <v>323</v>
      </c>
      <c r="B294" s="151" t="s">
        <v>1636</v>
      </c>
    </row>
    <row r="295" ht="15.75" customHeight="1">
      <c r="A295" s="32" t="s">
        <v>326</v>
      </c>
      <c r="B295" s="151" t="s">
        <v>1637</v>
      </c>
    </row>
    <row r="296" ht="15.75" customHeight="1">
      <c r="A296" s="32" t="s">
        <v>1638</v>
      </c>
      <c r="B296" s="151" t="s">
        <v>1639</v>
      </c>
    </row>
    <row r="297" ht="15.75" customHeight="1">
      <c r="A297" s="32" t="s">
        <v>994</v>
      </c>
      <c r="B297" s="151" t="s">
        <v>1640</v>
      </c>
    </row>
    <row r="298" ht="15.75" customHeight="1">
      <c r="A298" s="32" t="s">
        <v>342</v>
      </c>
      <c r="B298" s="151" t="s">
        <v>1641</v>
      </c>
    </row>
    <row r="299" ht="15.75" customHeight="1">
      <c r="A299" s="32" t="s">
        <v>1642</v>
      </c>
      <c r="B299" s="151" t="s">
        <v>1643</v>
      </c>
    </row>
    <row r="300" ht="15.75" customHeight="1">
      <c r="A300" s="32" t="s">
        <v>1644</v>
      </c>
      <c r="B300" s="151" t="s">
        <v>1645</v>
      </c>
    </row>
    <row r="301" ht="15.75" customHeight="1">
      <c r="A301" s="32" t="s">
        <v>685</v>
      </c>
      <c r="B301" s="151" t="s">
        <v>1646</v>
      </c>
    </row>
    <row r="302" ht="15.75" customHeight="1">
      <c r="A302" s="32" t="s">
        <v>1647</v>
      </c>
      <c r="B302" s="151" t="s">
        <v>1648</v>
      </c>
    </row>
    <row r="303" ht="15.75" customHeight="1">
      <c r="A303" s="32" t="s">
        <v>1649</v>
      </c>
      <c r="B303" s="151" t="s">
        <v>1650</v>
      </c>
    </row>
    <row r="304" ht="15.75" customHeight="1">
      <c r="A304" s="32" t="s">
        <v>1651</v>
      </c>
      <c r="B304" s="151" t="s">
        <v>1652</v>
      </c>
    </row>
    <row r="305" ht="15.75" customHeight="1">
      <c r="A305" s="32" t="s">
        <v>1653</v>
      </c>
      <c r="B305" s="151" t="s">
        <v>1654</v>
      </c>
    </row>
    <row r="306" ht="15.75" customHeight="1">
      <c r="A306" s="32" t="s">
        <v>1655</v>
      </c>
      <c r="B306" s="151" t="s">
        <v>1656</v>
      </c>
    </row>
    <row r="307" ht="15.75" customHeight="1">
      <c r="A307" s="32" t="s">
        <v>1657</v>
      </c>
      <c r="B307" s="151" t="s">
        <v>1658</v>
      </c>
    </row>
    <row r="308" ht="15.75" customHeight="1">
      <c r="A308" s="32" t="s">
        <v>1659</v>
      </c>
      <c r="B308" s="151" t="s">
        <v>1660</v>
      </c>
    </row>
    <row r="309" ht="15.75" customHeight="1">
      <c r="A309" s="32" t="s">
        <v>507</v>
      </c>
      <c r="B309" s="151" t="s">
        <v>1661</v>
      </c>
    </row>
    <row r="310" ht="15.75" customHeight="1">
      <c r="A310" s="32" t="s">
        <v>213</v>
      </c>
      <c r="B310" s="151" t="s">
        <v>1662</v>
      </c>
    </row>
    <row r="311" ht="15.75" customHeight="1">
      <c r="A311" s="32" t="s">
        <v>1663</v>
      </c>
      <c r="B311" s="151" t="s">
        <v>1664</v>
      </c>
    </row>
    <row r="312" ht="15.75" customHeight="1">
      <c r="A312" s="32" t="s">
        <v>1665</v>
      </c>
      <c r="B312" s="151" t="s">
        <v>1666</v>
      </c>
    </row>
    <row r="313" ht="15.75" customHeight="1">
      <c r="A313" s="32" t="s">
        <v>1667</v>
      </c>
      <c r="B313" s="151" t="s">
        <v>1668</v>
      </c>
    </row>
    <row r="314" ht="15.75" customHeight="1">
      <c r="A314" s="32" t="s">
        <v>1669</v>
      </c>
      <c r="B314" s="151" t="s">
        <v>1670</v>
      </c>
    </row>
    <row r="315" ht="15.75" customHeight="1">
      <c r="A315" s="32" t="s">
        <v>1671</v>
      </c>
      <c r="B315" s="151" t="s">
        <v>1672</v>
      </c>
    </row>
    <row r="316" ht="15.75" customHeight="1">
      <c r="A316" s="32" t="s">
        <v>1673</v>
      </c>
      <c r="B316" s="151" t="s">
        <v>1674</v>
      </c>
    </row>
    <row r="317" ht="15.75" customHeight="1">
      <c r="A317" s="32" t="s">
        <v>530</v>
      </c>
      <c r="B317" s="151" t="s">
        <v>1675</v>
      </c>
    </row>
    <row r="318" ht="15.75" customHeight="1">
      <c r="A318" s="32" t="s">
        <v>857</v>
      </c>
      <c r="B318" s="151" t="s">
        <v>1676</v>
      </c>
    </row>
    <row r="319" ht="15.75" customHeight="1">
      <c r="A319" s="32" t="s">
        <v>1677</v>
      </c>
      <c r="B319" s="151" t="s">
        <v>1678</v>
      </c>
    </row>
    <row r="320" ht="15.75" customHeight="1">
      <c r="A320" s="32" t="s">
        <v>1679</v>
      </c>
      <c r="B320" s="151" t="s">
        <v>1680</v>
      </c>
    </row>
    <row r="321" ht="15.75" customHeight="1">
      <c r="A321" s="32" t="s">
        <v>787</v>
      </c>
      <c r="B321" s="151" t="s">
        <v>1681</v>
      </c>
    </row>
    <row r="322" ht="15.75" customHeight="1">
      <c r="A322" s="32" t="s">
        <v>1682</v>
      </c>
      <c r="B322" s="151" t="s">
        <v>1683</v>
      </c>
    </row>
    <row r="323" ht="15.75" customHeight="1">
      <c r="A323" s="32" t="s">
        <v>1684</v>
      </c>
      <c r="B323" s="151" t="s">
        <v>1685</v>
      </c>
    </row>
    <row r="324" ht="15.75" customHeight="1">
      <c r="A324" s="32" t="s">
        <v>1686</v>
      </c>
      <c r="B324" s="151" t="s">
        <v>1687</v>
      </c>
    </row>
    <row r="325" ht="15.75" customHeight="1">
      <c r="A325" s="32" t="s">
        <v>1688</v>
      </c>
      <c r="B325" s="151" t="s">
        <v>1689</v>
      </c>
    </row>
    <row r="326" ht="15.75" customHeight="1">
      <c r="A326" s="32" t="s">
        <v>1690</v>
      </c>
      <c r="B326" s="151" t="s">
        <v>1691</v>
      </c>
    </row>
    <row r="327" ht="15.75" customHeight="1">
      <c r="A327" s="32" t="s">
        <v>1692</v>
      </c>
      <c r="B327" s="151" t="s">
        <v>1693</v>
      </c>
    </row>
    <row r="328" ht="15.75" customHeight="1">
      <c r="A328" s="32" t="s">
        <v>1694</v>
      </c>
      <c r="B328" s="151" t="s">
        <v>1695</v>
      </c>
    </row>
    <row r="329" ht="15.75" customHeight="1">
      <c r="A329" s="32" t="s">
        <v>1696</v>
      </c>
      <c r="B329" s="151" t="s">
        <v>1697</v>
      </c>
    </row>
    <row r="330" ht="15.75" customHeight="1">
      <c r="A330" s="32" t="s">
        <v>384</v>
      </c>
      <c r="B330" s="151" t="s">
        <v>1698</v>
      </c>
    </row>
    <row r="331" ht="15.75" customHeight="1">
      <c r="A331" s="32" t="s">
        <v>1699</v>
      </c>
      <c r="B331" s="151" t="s">
        <v>1700</v>
      </c>
    </row>
    <row r="332" ht="15.75" customHeight="1">
      <c r="A332" s="32" t="s">
        <v>1701</v>
      </c>
      <c r="B332" s="151" t="s">
        <v>1702</v>
      </c>
    </row>
    <row r="333" ht="15.75" customHeight="1">
      <c r="A333" s="32" t="s">
        <v>1703</v>
      </c>
      <c r="B333" s="151" t="s">
        <v>1704</v>
      </c>
    </row>
    <row r="334" ht="15.75" customHeight="1">
      <c r="A334" s="32" t="s">
        <v>831</v>
      </c>
      <c r="B334" s="151" t="s">
        <v>1705</v>
      </c>
    </row>
    <row r="335" ht="15.75" customHeight="1">
      <c r="A335" s="32" t="s">
        <v>1706</v>
      </c>
      <c r="B335" s="151" t="s">
        <v>1707</v>
      </c>
    </row>
    <row r="336" ht="15.75" customHeight="1">
      <c r="A336" s="32" t="s">
        <v>1708</v>
      </c>
      <c r="B336" s="151" t="s">
        <v>1709</v>
      </c>
    </row>
    <row r="337" ht="15.75" customHeight="1">
      <c r="A337" s="32" t="s">
        <v>1710</v>
      </c>
      <c r="B337" s="151" t="s">
        <v>1711</v>
      </c>
    </row>
    <row r="338" ht="15.75" customHeight="1">
      <c r="A338" s="32" t="s">
        <v>1712</v>
      </c>
      <c r="B338" s="151" t="s">
        <v>1713</v>
      </c>
    </row>
    <row r="339" ht="15.75" customHeight="1">
      <c r="A339" s="32" t="s">
        <v>1714</v>
      </c>
      <c r="B339" s="151" t="s">
        <v>1715</v>
      </c>
    </row>
    <row r="340" ht="15.75" customHeight="1">
      <c r="A340" s="32" t="s">
        <v>1716</v>
      </c>
      <c r="B340" s="151" t="s">
        <v>1717</v>
      </c>
    </row>
    <row r="341" ht="15.75" customHeight="1">
      <c r="A341" s="32" t="s">
        <v>1718</v>
      </c>
      <c r="B341" s="151" t="s">
        <v>1719</v>
      </c>
    </row>
    <row r="342" ht="15.75" customHeight="1">
      <c r="A342" s="32" t="s">
        <v>543</v>
      </c>
      <c r="B342" s="151" t="s">
        <v>1720</v>
      </c>
    </row>
    <row r="343" ht="15.75" customHeight="1">
      <c r="A343" s="32" t="s">
        <v>1721</v>
      </c>
      <c r="B343" s="151" t="s">
        <v>1722</v>
      </c>
    </row>
    <row r="344" ht="15.75" customHeight="1">
      <c r="A344" s="32" t="s">
        <v>1723</v>
      </c>
      <c r="B344" s="151" t="s">
        <v>1724</v>
      </c>
    </row>
    <row r="345" ht="15.75" customHeight="1">
      <c r="A345" s="32" t="s">
        <v>919</v>
      </c>
      <c r="B345" s="151" t="s">
        <v>1725</v>
      </c>
    </row>
    <row r="346" ht="15.75" customHeight="1">
      <c r="A346" s="32" t="s">
        <v>1726</v>
      </c>
      <c r="B346" s="151" t="s">
        <v>1727</v>
      </c>
    </row>
    <row r="347" ht="15.75" customHeight="1">
      <c r="A347" s="32" t="s">
        <v>1728</v>
      </c>
      <c r="B347" s="151" t="s">
        <v>1729</v>
      </c>
    </row>
    <row r="348" ht="15.75" customHeight="1">
      <c r="A348" s="32" t="s">
        <v>1730</v>
      </c>
      <c r="B348" s="151" t="s">
        <v>1731</v>
      </c>
    </row>
    <row r="349" ht="15.75" customHeight="1">
      <c r="A349" s="32" t="s">
        <v>1732</v>
      </c>
      <c r="B349" s="151" t="s">
        <v>1733</v>
      </c>
    </row>
    <row r="350" ht="15.75" customHeight="1">
      <c r="A350" s="32" t="s">
        <v>1734</v>
      </c>
      <c r="B350" s="151" t="s">
        <v>1735</v>
      </c>
    </row>
    <row r="351" ht="15.75" customHeight="1">
      <c r="A351" s="32" t="s">
        <v>1736</v>
      </c>
      <c r="B351" s="151" t="s">
        <v>1737</v>
      </c>
    </row>
    <row r="352" ht="15.75" customHeight="1">
      <c r="A352" s="32" t="s">
        <v>454</v>
      </c>
      <c r="B352" s="151" t="s">
        <v>1738</v>
      </c>
    </row>
    <row r="353" ht="15.75" customHeight="1">
      <c r="A353" s="32" t="s">
        <v>1739</v>
      </c>
      <c r="B353" s="151" t="s">
        <v>1740</v>
      </c>
    </row>
    <row r="354" ht="15.75" customHeight="1">
      <c r="A354" s="32" t="s">
        <v>1741</v>
      </c>
      <c r="B354" s="151" t="s">
        <v>1742</v>
      </c>
    </row>
    <row r="355" ht="15.75" customHeight="1">
      <c r="A355" s="32" t="s">
        <v>1743</v>
      </c>
      <c r="B355" s="151" t="s">
        <v>1744</v>
      </c>
    </row>
    <row r="356" ht="15.75" customHeight="1">
      <c r="A356" s="74" t="s">
        <v>1745</v>
      </c>
      <c r="B356" s="151" t="s">
        <v>1746</v>
      </c>
    </row>
    <row r="357" ht="15.75" customHeight="1">
      <c r="A357" s="74" t="s">
        <v>276</v>
      </c>
      <c r="B357" s="151" t="s">
        <v>1747</v>
      </c>
    </row>
    <row r="358" ht="15.75" customHeight="1">
      <c r="A358" s="74" t="s">
        <v>369</v>
      </c>
      <c r="B358" s="151" t="s">
        <v>1748</v>
      </c>
    </row>
    <row r="359" ht="15.75" customHeight="1">
      <c r="A359" s="32" t="s">
        <v>426</v>
      </c>
      <c r="B359" s="151" t="s">
        <v>1749</v>
      </c>
    </row>
    <row r="360" ht="15.75" customHeight="1">
      <c r="A360" s="74" t="s">
        <v>478</v>
      </c>
      <c r="B360" s="151" t="s">
        <v>1750</v>
      </c>
    </row>
    <row r="361" ht="15.75" customHeight="1">
      <c r="A361" s="32" t="s">
        <v>495</v>
      </c>
      <c r="B361" s="151" t="s">
        <v>1751</v>
      </c>
    </row>
    <row r="362" ht="15.75" customHeight="1">
      <c r="A362" s="32" t="s">
        <v>562</v>
      </c>
      <c r="B362" s="151" t="s">
        <v>1752</v>
      </c>
    </row>
    <row r="363" ht="15.75" customHeight="1">
      <c r="A363" s="32" t="s">
        <v>576</v>
      </c>
      <c r="B363" s="151" t="s">
        <v>1753</v>
      </c>
    </row>
    <row r="364" ht="15.75" customHeight="1">
      <c r="A364" s="32" t="s">
        <v>705</v>
      </c>
      <c r="B364" s="151" t="s">
        <v>1754</v>
      </c>
    </row>
    <row r="365" ht="15.75" customHeight="1">
      <c r="A365" s="74" t="s">
        <v>775</v>
      </c>
      <c r="B365" s="151" t="s">
        <v>1755</v>
      </c>
    </row>
    <row r="366" ht="15.75" customHeight="1">
      <c r="A366" s="74" t="s">
        <v>780</v>
      </c>
      <c r="B366" s="151" t="s">
        <v>1756</v>
      </c>
    </row>
    <row r="367" ht="15.75" customHeight="1">
      <c r="A367" s="32" t="s">
        <v>801</v>
      </c>
      <c r="B367" s="151" t="s">
        <v>1757</v>
      </c>
    </row>
    <row r="368" ht="15.75" customHeight="1">
      <c r="A368" s="32" t="s">
        <v>841</v>
      </c>
      <c r="B368" s="151" t="s">
        <v>1758</v>
      </c>
    </row>
    <row r="369" ht="15.75" customHeight="1">
      <c r="A369" s="74" t="s">
        <v>923</v>
      </c>
      <c r="B369" s="151" t="s">
        <v>1759</v>
      </c>
    </row>
    <row r="370" ht="15.75" customHeight="1">
      <c r="A370" s="74" t="s">
        <v>930</v>
      </c>
      <c r="B370" s="151" t="s">
        <v>1760</v>
      </c>
    </row>
    <row r="371" ht="15.75" customHeight="1">
      <c r="A371" s="153" t="s">
        <v>1761</v>
      </c>
      <c r="B371" s="154" t="s">
        <v>1762</v>
      </c>
    </row>
    <row r="372" ht="15.75" customHeight="1">
      <c r="A372" s="153" t="s">
        <v>1763</v>
      </c>
      <c r="B372" s="154" t="s">
        <v>1764</v>
      </c>
    </row>
    <row r="373" ht="15.75" customHeight="1">
      <c r="A373" s="153" t="s">
        <v>1765</v>
      </c>
      <c r="B373" s="154" t="s">
        <v>1766</v>
      </c>
    </row>
    <row r="374" ht="15.75" customHeight="1">
      <c r="A374" s="153" t="s">
        <v>1767</v>
      </c>
      <c r="B374" s="154" t="s">
        <v>1768</v>
      </c>
    </row>
    <row r="375" ht="15.75" customHeight="1">
      <c r="A375" s="153" t="s">
        <v>1769</v>
      </c>
      <c r="B375" s="154" t="s">
        <v>1770</v>
      </c>
    </row>
    <row r="376" ht="15.75" customHeight="1">
      <c r="A376" s="153" t="s">
        <v>1771</v>
      </c>
      <c r="B376" s="154" t="s">
        <v>1772</v>
      </c>
    </row>
    <row r="377" ht="15.75" customHeight="1">
      <c r="A377" s="155" t="s">
        <v>1773</v>
      </c>
      <c r="B377" s="156" t="s">
        <v>1774</v>
      </c>
    </row>
    <row r="378" ht="15.75" customHeight="1">
      <c r="A378" s="153" t="s">
        <v>1775</v>
      </c>
      <c r="B378" s="154" t="s">
        <v>1776</v>
      </c>
    </row>
    <row r="379" ht="15.75" customHeight="1">
      <c r="A379" s="153" t="s">
        <v>1777</v>
      </c>
      <c r="B379" s="154" t="s">
        <v>1778</v>
      </c>
    </row>
    <row r="380" ht="15.75" customHeight="1">
      <c r="A380" s="153" t="s">
        <v>1779</v>
      </c>
      <c r="B380" s="154" t="s">
        <v>1780</v>
      </c>
    </row>
    <row r="381" ht="15.75" customHeight="1">
      <c r="A381" s="153" t="s">
        <v>1781</v>
      </c>
      <c r="B381" s="154" t="s">
        <v>1782</v>
      </c>
    </row>
    <row r="382" ht="15.75" customHeight="1">
      <c r="A382" s="153" t="s">
        <v>1783</v>
      </c>
      <c r="B382" s="154" t="s">
        <v>1784</v>
      </c>
    </row>
    <row r="383" ht="15.75" customHeight="1">
      <c r="A383" s="153" t="s">
        <v>1785</v>
      </c>
      <c r="B383" s="154" t="s">
        <v>1786</v>
      </c>
    </row>
    <row r="384" ht="15.75" customHeight="1">
      <c r="A384" s="153" t="s">
        <v>1787</v>
      </c>
      <c r="B384" s="154" t="s">
        <v>1788</v>
      </c>
    </row>
    <row r="385" ht="15.75" customHeight="1">
      <c r="A385" s="153" t="s">
        <v>1789</v>
      </c>
      <c r="B385" s="157" t="s">
        <v>1790</v>
      </c>
    </row>
    <row r="386" ht="15.75" customHeight="1">
      <c r="A386" s="153" t="s">
        <v>1791</v>
      </c>
      <c r="B386" s="154" t="s">
        <v>1792</v>
      </c>
    </row>
    <row r="387" ht="15.75" customHeight="1">
      <c r="A387" s="153" t="s">
        <v>1793</v>
      </c>
      <c r="B387" s="154" t="s">
        <v>1794</v>
      </c>
    </row>
    <row r="388" ht="15.75" customHeight="1">
      <c r="A388" s="153" t="s">
        <v>1795</v>
      </c>
      <c r="B388" s="154" t="s">
        <v>1796</v>
      </c>
    </row>
    <row r="389" ht="15.75" customHeight="1">
      <c r="A389" s="153" t="s">
        <v>1797</v>
      </c>
      <c r="B389" s="154" t="s">
        <v>1798</v>
      </c>
    </row>
    <row r="390" ht="15.75" customHeight="1">
      <c r="A390" s="153" t="s">
        <v>1799</v>
      </c>
      <c r="B390" s="154" t="s">
        <v>1800</v>
      </c>
    </row>
    <row r="391" ht="15.75" customHeight="1">
      <c r="A391" s="153" t="s">
        <v>753</v>
      </c>
      <c r="B391" s="154" t="s">
        <v>1801</v>
      </c>
    </row>
    <row r="392" ht="15.75" customHeight="1">
      <c r="A392" s="153" t="s">
        <v>1802</v>
      </c>
      <c r="B392" s="154" t="s">
        <v>1803</v>
      </c>
    </row>
    <row r="393" ht="15.75" customHeight="1">
      <c r="A393" s="153" t="s">
        <v>1804</v>
      </c>
      <c r="B393" s="154" t="s">
        <v>1805</v>
      </c>
    </row>
    <row r="394" ht="15.75" customHeight="1">
      <c r="A394" s="153" t="s">
        <v>1806</v>
      </c>
      <c r="B394" s="154" t="s">
        <v>1807</v>
      </c>
    </row>
    <row r="395" ht="15.75" customHeight="1">
      <c r="A395" s="153" t="s">
        <v>1808</v>
      </c>
      <c r="B395" s="154" t="s">
        <v>1809</v>
      </c>
    </row>
    <row r="396" ht="15.75" customHeight="1">
      <c r="A396" s="153" t="s">
        <v>1810</v>
      </c>
      <c r="B396" s="154" t="s">
        <v>1811</v>
      </c>
    </row>
    <row r="397" ht="15.75" customHeight="1">
      <c r="A397" s="153" t="s">
        <v>1812</v>
      </c>
      <c r="B397" s="154" t="s">
        <v>1813</v>
      </c>
    </row>
    <row r="398" ht="15.75" customHeight="1">
      <c r="A398" s="153" t="s">
        <v>1814</v>
      </c>
      <c r="B398" s="157" t="s">
        <v>1815</v>
      </c>
    </row>
    <row r="399" ht="15.75" customHeight="1">
      <c r="A399" s="153" t="s">
        <v>1816</v>
      </c>
      <c r="B399" s="154" t="s">
        <v>1817</v>
      </c>
    </row>
    <row r="400" ht="15.75" customHeight="1">
      <c r="A400" s="153" t="s">
        <v>1818</v>
      </c>
      <c r="B400" s="154" t="s">
        <v>1819</v>
      </c>
    </row>
    <row r="401" ht="15.75" customHeight="1">
      <c r="A401" s="153" t="s">
        <v>1820</v>
      </c>
      <c r="B401" s="154" t="s">
        <v>1821</v>
      </c>
    </row>
    <row r="402" ht="15.75" customHeight="1">
      <c r="A402" s="153" t="s">
        <v>1822</v>
      </c>
      <c r="B402" s="154" t="s">
        <v>1823</v>
      </c>
    </row>
    <row r="403" ht="15.75" customHeight="1">
      <c r="A403" s="153" t="s">
        <v>1824</v>
      </c>
      <c r="B403" s="157" t="s">
        <v>1825</v>
      </c>
    </row>
    <row r="404" ht="15.75" customHeight="1">
      <c r="A404" s="153" t="s">
        <v>1826</v>
      </c>
      <c r="B404" s="154" t="s">
        <v>1827</v>
      </c>
    </row>
    <row r="405" ht="15.75" customHeight="1">
      <c r="A405" s="155" t="s">
        <v>1828</v>
      </c>
      <c r="B405" s="156" t="s">
        <v>1829</v>
      </c>
    </row>
    <row r="406" ht="15.75" customHeight="1">
      <c r="A406" s="153" t="s">
        <v>1830</v>
      </c>
      <c r="B406" s="154" t="s">
        <v>1831</v>
      </c>
    </row>
    <row r="407" ht="15.75" customHeight="1">
      <c r="A407" s="153" t="s">
        <v>1832</v>
      </c>
      <c r="B407" s="154" t="s">
        <v>1833</v>
      </c>
    </row>
    <row r="408" ht="15.75" customHeight="1">
      <c r="A408" s="153" t="s">
        <v>1834</v>
      </c>
      <c r="B408" s="154" t="s">
        <v>1835</v>
      </c>
    </row>
    <row r="409" ht="15.75" customHeight="1">
      <c r="A409" s="153" t="s">
        <v>1836</v>
      </c>
      <c r="B409" s="154" t="s">
        <v>1837</v>
      </c>
    </row>
    <row r="410" ht="15.75" customHeight="1">
      <c r="A410" s="153" t="s">
        <v>1838</v>
      </c>
      <c r="B410" s="154" t="s">
        <v>1839</v>
      </c>
    </row>
    <row r="411" ht="15.75" customHeight="1">
      <c r="A411" s="153" t="s">
        <v>1840</v>
      </c>
      <c r="B411" s="154" t="s">
        <v>1841</v>
      </c>
    </row>
    <row r="412" ht="15.75" customHeight="1">
      <c r="A412" s="153" t="s">
        <v>1842</v>
      </c>
      <c r="B412" s="154" t="s">
        <v>1843</v>
      </c>
    </row>
    <row r="413" ht="15.75" customHeight="1">
      <c r="A413" s="153" t="s">
        <v>1844</v>
      </c>
      <c r="B413" s="154" t="s">
        <v>1845</v>
      </c>
    </row>
    <row r="414" ht="15.75" customHeight="1">
      <c r="A414" s="153" t="s">
        <v>1846</v>
      </c>
      <c r="B414" s="154" t="s">
        <v>1847</v>
      </c>
    </row>
    <row r="415" ht="15.75" customHeight="1">
      <c r="A415" s="153" t="s">
        <v>1848</v>
      </c>
      <c r="B415" s="154" t="s">
        <v>1849</v>
      </c>
    </row>
    <row r="416" ht="15.75" customHeight="1">
      <c r="A416" s="153" t="s">
        <v>1850</v>
      </c>
      <c r="B416" s="154" t="s">
        <v>1851</v>
      </c>
    </row>
    <row r="417" ht="15.75" customHeight="1">
      <c r="A417" s="153" t="s">
        <v>1852</v>
      </c>
      <c r="B417" s="154" t="s">
        <v>1853</v>
      </c>
    </row>
    <row r="418" ht="15.75" customHeight="1">
      <c r="A418" s="153" t="s">
        <v>1854</v>
      </c>
      <c r="B418" s="154" t="s">
        <v>1855</v>
      </c>
    </row>
    <row r="419" ht="15.75" customHeight="1">
      <c r="A419" s="153" t="s">
        <v>1856</v>
      </c>
      <c r="B419" s="154" t="s">
        <v>1857</v>
      </c>
    </row>
    <row r="420" ht="15.75" customHeight="1">
      <c r="A420" s="153" t="s">
        <v>1858</v>
      </c>
      <c r="B420" s="157" t="s">
        <v>1859</v>
      </c>
    </row>
    <row r="421" ht="15.75" customHeight="1">
      <c r="A421" s="153" t="s">
        <v>1860</v>
      </c>
      <c r="B421" s="154" t="s">
        <v>1861</v>
      </c>
    </row>
    <row r="422" ht="15.75" customHeight="1">
      <c r="A422" s="153" t="s">
        <v>1862</v>
      </c>
      <c r="B422" s="154" t="s">
        <v>1863</v>
      </c>
    </row>
    <row r="423" ht="15.75" customHeight="1">
      <c r="A423" s="153" t="s">
        <v>1864</v>
      </c>
      <c r="B423" s="154" t="s">
        <v>1865</v>
      </c>
    </row>
    <row r="424" ht="15.75" customHeight="1">
      <c r="A424" s="153" t="s">
        <v>1866</v>
      </c>
      <c r="B424" s="154" t="s">
        <v>1867</v>
      </c>
    </row>
    <row r="425" ht="15.75" customHeight="1">
      <c r="A425" s="153" t="s">
        <v>1868</v>
      </c>
      <c r="B425" s="154" t="s">
        <v>1869</v>
      </c>
    </row>
    <row r="426" ht="15.75" customHeight="1">
      <c r="A426" s="153" t="s">
        <v>1870</v>
      </c>
      <c r="B426" s="154" t="s">
        <v>1871</v>
      </c>
    </row>
    <row r="427" ht="15.75" customHeight="1">
      <c r="A427" s="153" t="s">
        <v>1872</v>
      </c>
      <c r="B427" s="154" t="s">
        <v>1873</v>
      </c>
    </row>
    <row r="428" ht="15.75" customHeight="1">
      <c r="A428" s="153" t="s">
        <v>1874</v>
      </c>
      <c r="B428" s="154" t="s">
        <v>1875</v>
      </c>
    </row>
    <row r="429" ht="15.75" customHeight="1">
      <c r="A429" s="153" t="s">
        <v>1876</v>
      </c>
      <c r="B429" s="157" t="s">
        <v>1877</v>
      </c>
    </row>
    <row r="430" ht="15.75" customHeight="1">
      <c r="A430" s="153" t="s">
        <v>1878</v>
      </c>
      <c r="B430" s="154" t="s">
        <v>1879</v>
      </c>
    </row>
    <row r="431" ht="15.75" customHeight="1">
      <c r="A431" s="153" t="s">
        <v>1880</v>
      </c>
      <c r="B431" s="154" t="s">
        <v>1881</v>
      </c>
    </row>
    <row r="432" ht="15.75" customHeight="1">
      <c r="A432" s="153" t="s">
        <v>1882</v>
      </c>
      <c r="B432" s="154" t="s">
        <v>1883</v>
      </c>
    </row>
    <row r="433" ht="15.75" customHeight="1">
      <c r="A433" s="153" t="s">
        <v>1884</v>
      </c>
      <c r="B433" s="154" t="s">
        <v>1885</v>
      </c>
    </row>
    <row r="434" ht="15.75" customHeight="1">
      <c r="A434" s="153" t="s">
        <v>1886</v>
      </c>
      <c r="B434" s="154" t="s">
        <v>1887</v>
      </c>
    </row>
    <row r="435" ht="15.75" customHeight="1">
      <c r="A435" s="153" t="s">
        <v>1888</v>
      </c>
      <c r="B435" s="154" t="s">
        <v>1889</v>
      </c>
    </row>
    <row r="436" ht="15.75" customHeight="1">
      <c r="A436" s="153" t="s">
        <v>1890</v>
      </c>
      <c r="B436" s="154" t="s">
        <v>1891</v>
      </c>
    </row>
    <row r="437" ht="15.75" customHeight="1">
      <c r="A437" s="153" t="s">
        <v>1892</v>
      </c>
      <c r="B437" s="154" t="s">
        <v>1893</v>
      </c>
    </row>
    <row r="438" ht="15.75" customHeight="1">
      <c r="A438" s="153" t="s">
        <v>1894</v>
      </c>
      <c r="B438" s="154" t="s">
        <v>1895</v>
      </c>
    </row>
    <row r="439" ht="15.75" customHeight="1">
      <c r="A439" s="153" t="s">
        <v>1896</v>
      </c>
      <c r="B439" s="154" t="s">
        <v>1897</v>
      </c>
    </row>
    <row r="440" ht="15.75" customHeight="1">
      <c r="A440" s="153" t="s">
        <v>1898</v>
      </c>
      <c r="B440" s="157" t="s">
        <v>1899</v>
      </c>
    </row>
    <row r="441" ht="15.75" customHeight="1">
      <c r="A441" s="153" t="s">
        <v>1900</v>
      </c>
      <c r="B441" s="154" t="s">
        <v>1901</v>
      </c>
    </row>
    <row r="442" ht="15.75" customHeight="1">
      <c r="A442" s="153" t="s">
        <v>1902</v>
      </c>
      <c r="B442" s="154" t="s">
        <v>1903</v>
      </c>
    </row>
    <row r="443" ht="15.75" customHeight="1">
      <c r="A443" s="153" t="s">
        <v>1904</v>
      </c>
      <c r="B443" s="154" t="s">
        <v>1905</v>
      </c>
    </row>
    <row r="444" ht="15.75" customHeight="1">
      <c r="A444" s="153" t="s">
        <v>1906</v>
      </c>
      <c r="B444" s="154" t="s">
        <v>1907</v>
      </c>
    </row>
    <row r="445" ht="15.75" customHeight="1">
      <c r="A445" s="153" t="s">
        <v>1908</v>
      </c>
      <c r="B445" s="154" t="s">
        <v>1909</v>
      </c>
    </row>
    <row r="446" ht="15.75" customHeight="1">
      <c r="A446" s="153" t="s">
        <v>1910</v>
      </c>
      <c r="B446" s="154" t="s">
        <v>1911</v>
      </c>
    </row>
    <row r="447" ht="15.75" customHeight="1">
      <c r="A447" s="153" t="s">
        <v>1912</v>
      </c>
      <c r="B447" s="154" t="s">
        <v>1913</v>
      </c>
    </row>
    <row r="448" ht="15.75" customHeight="1">
      <c r="A448" s="153" t="s">
        <v>1914</v>
      </c>
      <c r="B448" s="154" t="s">
        <v>1915</v>
      </c>
    </row>
    <row r="449" ht="15.75" customHeight="1">
      <c r="A449" s="153" t="s">
        <v>1916</v>
      </c>
      <c r="B449" s="157" t="s">
        <v>1917</v>
      </c>
    </row>
    <row r="450" ht="15.75" customHeight="1">
      <c r="A450" s="153" t="s">
        <v>1918</v>
      </c>
      <c r="B450" s="154" t="s">
        <v>1919</v>
      </c>
    </row>
    <row r="451" ht="15.75" customHeight="1">
      <c r="A451" s="153" t="s">
        <v>1920</v>
      </c>
      <c r="B451" s="154" t="s">
        <v>1921</v>
      </c>
    </row>
    <row r="452" ht="15.75" customHeight="1">
      <c r="A452" s="153" t="s">
        <v>1922</v>
      </c>
      <c r="B452" s="154" t="s">
        <v>1923</v>
      </c>
    </row>
    <row r="453" ht="15.75" customHeight="1">
      <c r="A453" s="153" t="s">
        <v>1924</v>
      </c>
      <c r="B453" s="157" t="s">
        <v>1925</v>
      </c>
    </row>
    <row r="454" ht="15.75" customHeight="1">
      <c r="A454" s="153" t="s">
        <v>1926</v>
      </c>
      <c r="B454" s="157" t="s">
        <v>1927</v>
      </c>
    </row>
    <row r="455" ht="15.75" customHeight="1">
      <c r="A455" s="153" t="s">
        <v>1928</v>
      </c>
      <c r="B455" s="154" t="s">
        <v>1929</v>
      </c>
    </row>
    <row r="456" ht="15.75" customHeight="1">
      <c r="A456" s="153" t="s">
        <v>1930</v>
      </c>
      <c r="B456" s="154" t="s">
        <v>1931</v>
      </c>
    </row>
    <row r="457" ht="15.75" customHeight="1">
      <c r="A457" s="153" t="s">
        <v>1932</v>
      </c>
      <c r="B457" s="154" t="s">
        <v>1933</v>
      </c>
    </row>
    <row r="458" ht="15.75" customHeight="1">
      <c r="A458" s="158" t="s">
        <v>327</v>
      </c>
      <c r="B458" s="159" t="s">
        <v>1934</v>
      </c>
    </row>
    <row r="459" ht="15.75" customHeight="1">
      <c r="A459" s="153" t="s">
        <v>1935</v>
      </c>
      <c r="B459" s="154" t="s">
        <v>1936</v>
      </c>
    </row>
    <row r="460" ht="15.75" customHeight="1">
      <c r="A460" s="153" t="s">
        <v>1937</v>
      </c>
      <c r="B460" s="154" t="s">
        <v>1938</v>
      </c>
    </row>
    <row r="461" ht="15.75" customHeight="1">
      <c r="A461" s="153" t="s">
        <v>1939</v>
      </c>
      <c r="B461" s="154" t="s">
        <v>1940</v>
      </c>
    </row>
    <row r="462" ht="15.75" customHeight="1">
      <c r="A462" s="153" t="s">
        <v>1941</v>
      </c>
      <c r="B462" s="154" t="s">
        <v>1942</v>
      </c>
    </row>
    <row r="463" ht="15.75" customHeight="1">
      <c r="A463" s="153" t="s">
        <v>1943</v>
      </c>
      <c r="B463" s="154" t="s">
        <v>1944</v>
      </c>
    </row>
    <row r="464" ht="15.75" customHeight="1">
      <c r="A464" s="153" t="s">
        <v>1945</v>
      </c>
      <c r="B464" s="154" t="s">
        <v>1946</v>
      </c>
    </row>
    <row r="465" ht="15.75" customHeight="1">
      <c r="A465" s="153" t="s">
        <v>1947</v>
      </c>
      <c r="B465" s="154" t="s">
        <v>1948</v>
      </c>
    </row>
    <row r="466" ht="15.75" customHeight="1">
      <c r="A466" s="153" t="s">
        <v>1949</v>
      </c>
      <c r="B466" s="154" t="s">
        <v>1950</v>
      </c>
    </row>
    <row r="467" ht="15.75" customHeight="1">
      <c r="A467" s="153" t="s">
        <v>1951</v>
      </c>
      <c r="B467" s="154" t="s">
        <v>1952</v>
      </c>
    </row>
    <row r="468" ht="15.75" customHeight="1">
      <c r="A468" s="153" t="s">
        <v>1953</v>
      </c>
      <c r="B468" s="154" t="s">
        <v>1954</v>
      </c>
    </row>
    <row r="469" ht="15.75" customHeight="1">
      <c r="A469" s="153" t="s">
        <v>1955</v>
      </c>
      <c r="B469" s="154" t="s">
        <v>1956</v>
      </c>
    </row>
    <row r="470" ht="15.75" customHeight="1">
      <c r="A470" s="153" t="s">
        <v>1957</v>
      </c>
      <c r="B470" s="154" t="s">
        <v>1958</v>
      </c>
    </row>
    <row r="471" ht="15.75" customHeight="1">
      <c r="A471" s="153" t="s">
        <v>1959</v>
      </c>
      <c r="B471" s="154" t="s">
        <v>1960</v>
      </c>
    </row>
    <row r="472" ht="15.75" customHeight="1">
      <c r="A472" s="153" t="s">
        <v>1961</v>
      </c>
      <c r="B472" s="154" t="s">
        <v>1962</v>
      </c>
    </row>
    <row r="473" ht="15.75" customHeight="1">
      <c r="A473" s="153" t="s">
        <v>1963</v>
      </c>
      <c r="B473" s="154" t="s">
        <v>1964</v>
      </c>
    </row>
    <row r="474" ht="15.75" customHeight="1">
      <c r="A474" s="153" t="s">
        <v>1965</v>
      </c>
      <c r="B474" s="157" t="s">
        <v>1966</v>
      </c>
    </row>
    <row r="475" ht="15.75" customHeight="1">
      <c r="A475" s="153" t="s">
        <v>1967</v>
      </c>
      <c r="B475" s="154" t="s">
        <v>1968</v>
      </c>
    </row>
    <row r="476" ht="15.75" customHeight="1">
      <c r="A476" s="153" t="s">
        <v>1969</v>
      </c>
      <c r="B476" s="154" t="s">
        <v>1970</v>
      </c>
    </row>
    <row r="477" ht="15.75" customHeight="1">
      <c r="A477" s="153" t="s">
        <v>1971</v>
      </c>
      <c r="B477" s="154" t="s">
        <v>1972</v>
      </c>
    </row>
    <row r="478" ht="15.75" customHeight="1">
      <c r="A478" s="153" t="s">
        <v>1973</v>
      </c>
      <c r="B478" s="154" t="s">
        <v>1974</v>
      </c>
    </row>
    <row r="479" ht="15.75" customHeight="1">
      <c r="A479" s="153" t="s">
        <v>1975</v>
      </c>
      <c r="B479" s="154" t="s">
        <v>1976</v>
      </c>
    </row>
    <row r="480" ht="15.75" customHeight="1">
      <c r="A480" s="153" t="s">
        <v>1977</v>
      </c>
      <c r="B480" s="154" t="s">
        <v>1978</v>
      </c>
    </row>
    <row r="481" ht="15.75" customHeight="1">
      <c r="A481" s="153" t="s">
        <v>1979</v>
      </c>
      <c r="B481" s="154" t="s">
        <v>1980</v>
      </c>
    </row>
    <row r="482" ht="15.75" customHeight="1">
      <c r="A482" s="153" t="s">
        <v>1981</v>
      </c>
      <c r="B482" s="154" t="s">
        <v>1982</v>
      </c>
    </row>
    <row r="483" ht="15.75" customHeight="1">
      <c r="A483" s="153" t="s">
        <v>1983</v>
      </c>
      <c r="B483" s="154" t="s">
        <v>1984</v>
      </c>
    </row>
    <row r="484" ht="15.75" customHeight="1">
      <c r="A484" s="153" t="s">
        <v>1985</v>
      </c>
      <c r="B484" s="154" t="s">
        <v>1986</v>
      </c>
    </row>
    <row r="485" ht="15.75" customHeight="1">
      <c r="A485" s="153" t="s">
        <v>1987</v>
      </c>
      <c r="B485" s="154" t="s">
        <v>1988</v>
      </c>
    </row>
    <row r="486" ht="15.75" customHeight="1">
      <c r="A486" s="153" t="s">
        <v>1989</v>
      </c>
      <c r="B486" s="154" t="s">
        <v>1990</v>
      </c>
    </row>
    <row r="487" ht="15.75" customHeight="1">
      <c r="A487" s="153" t="s">
        <v>1991</v>
      </c>
      <c r="B487" s="154" t="s">
        <v>1992</v>
      </c>
    </row>
    <row r="488" ht="15.75" customHeight="1">
      <c r="A488" s="153" t="s">
        <v>1993</v>
      </c>
      <c r="B488" s="154" t="s">
        <v>1994</v>
      </c>
    </row>
    <row r="489" ht="15.75" customHeight="1">
      <c r="A489" s="153" t="s">
        <v>1995</v>
      </c>
      <c r="B489" s="157" t="s">
        <v>1996</v>
      </c>
    </row>
    <row r="490" ht="15.75" customHeight="1">
      <c r="A490" s="153" t="s">
        <v>1997</v>
      </c>
      <c r="B490" s="154" t="s">
        <v>1998</v>
      </c>
    </row>
    <row r="491" ht="15.75" customHeight="1">
      <c r="A491" s="153" t="s">
        <v>1999</v>
      </c>
      <c r="B491" s="154" t="s">
        <v>2000</v>
      </c>
    </row>
    <row r="492" ht="15.75" customHeight="1">
      <c r="A492" s="153" t="s">
        <v>2001</v>
      </c>
      <c r="B492" s="154" t="s">
        <v>2002</v>
      </c>
    </row>
    <row r="493" ht="15.75" customHeight="1">
      <c r="A493" s="153" t="s">
        <v>2003</v>
      </c>
      <c r="B493" s="154" t="s">
        <v>2004</v>
      </c>
    </row>
    <row r="494" ht="15.75" customHeight="1">
      <c r="A494" s="153" t="s">
        <v>2005</v>
      </c>
      <c r="B494" s="154" t="s">
        <v>2006</v>
      </c>
    </row>
    <row r="495" ht="15.75" customHeight="1">
      <c r="A495" s="153" t="s">
        <v>2007</v>
      </c>
      <c r="B495" s="154" t="s">
        <v>2008</v>
      </c>
    </row>
    <row r="496" ht="15.75" customHeight="1">
      <c r="A496" s="153" t="s">
        <v>2009</v>
      </c>
      <c r="B496" s="154" t="s">
        <v>2010</v>
      </c>
    </row>
    <row r="497" ht="15.75" customHeight="1">
      <c r="A497" s="153" t="s">
        <v>2011</v>
      </c>
      <c r="B497" s="154" t="s">
        <v>2012</v>
      </c>
    </row>
    <row r="498" ht="15.75" customHeight="1">
      <c r="A498" s="153" t="s">
        <v>2013</v>
      </c>
      <c r="B498" s="154" t="s">
        <v>2014</v>
      </c>
    </row>
    <row r="499" ht="15.75" customHeight="1">
      <c r="A499" s="153" t="s">
        <v>2015</v>
      </c>
      <c r="B499" s="154" t="s">
        <v>2016</v>
      </c>
    </row>
    <row r="500" ht="15.75" customHeight="1">
      <c r="A500" s="153" t="s">
        <v>2017</v>
      </c>
      <c r="B500" s="154" t="s">
        <v>2018</v>
      </c>
    </row>
    <row r="501" ht="15.75" customHeight="1">
      <c r="A501" s="153" t="s">
        <v>2019</v>
      </c>
      <c r="B501" s="154" t="s">
        <v>2020</v>
      </c>
    </row>
    <row r="502" ht="15.75" customHeight="1">
      <c r="A502" s="153" t="s">
        <v>2021</v>
      </c>
      <c r="B502" s="154" t="s">
        <v>2022</v>
      </c>
    </row>
    <row r="503" ht="15.75" customHeight="1">
      <c r="A503" s="153" t="s">
        <v>2023</v>
      </c>
      <c r="B503" s="154" t="s">
        <v>2024</v>
      </c>
    </row>
    <row r="504" ht="15.75" customHeight="1">
      <c r="A504" s="153" t="s">
        <v>2025</v>
      </c>
      <c r="B504" s="154" t="s">
        <v>2026</v>
      </c>
    </row>
    <row r="505" ht="15.75" customHeight="1">
      <c r="A505" s="153" t="s">
        <v>2027</v>
      </c>
      <c r="B505" s="154" t="s">
        <v>2028</v>
      </c>
    </row>
    <row r="506" ht="15.75" customHeight="1">
      <c r="A506" s="153" t="s">
        <v>2029</v>
      </c>
      <c r="B506" s="154" t="s">
        <v>2030</v>
      </c>
    </row>
    <row r="507" ht="15.75" customHeight="1">
      <c r="A507" s="153" t="s">
        <v>2031</v>
      </c>
      <c r="B507" s="154" t="s">
        <v>2032</v>
      </c>
    </row>
    <row r="508" ht="15.75" customHeight="1">
      <c r="A508" s="153" t="s">
        <v>2033</v>
      </c>
      <c r="B508" s="154" t="s">
        <v>2034</v>
      </c>
    </row>
    <row r="509" ht="15.75" customHeight="1">
      <c r="A509" s="153" t="s">
        <v>2035</v>
      </c>
      <c r="B509" s="154" t="s">
        <v>2036</v>
      </c>
    </row>
    <row r="510" ht="15.75" customHeight="1">
      <c r="A510" s="153" t="s">
        <v>2037</v>
      </c>
      <c r="B510" s="154" t="s">
        <v>2038</v>
      </c>
    </row>
    <row r="511" ht="15.75" customHeight="1">
      <c r="A511" s="153" t="s">
        <v>2039</v>
      </c>
      <c r="B511" s="154" t="s">
        <v>2040</v>
      </c>
    </row>
    <row r="512" ht="15.75" customHeight="1">
      <c r="A512" s="153" t="s">
        <v>2041</v>
      </c>
      <c r="B512" s="154" t="s">
        <v>2042</v>
      </c>
    </row>
    <row r="513" ht="15.75" customHeight="1">
      <c r="A513" s="153" t="s">
        <v>2043</v>
      </c>
      <c r="B513" s="154" t="s">
        <v>2044</v>
      </c>
    </row>
    <row r="514" ht="15.75" customHeight="1">
      <c r="A514" s="153" t="s">
        <v>2045</v>
      </c>
      <c r="B514" s="154" t="s">
        <v>2046</v>
      </c>
    </row>
    <row r="515" ht="15.75" customHeight="1">
      <c r="A515" s="153" t="s">
        <v>2047</v>
      </c>
      <c r="B515" s="154" t="s">
        <v>2048</v>
      </c>
    </row>
    <row r="516" ht="15.75" customHeight="1">
      <c r="A516" s="153" t="s">
        <v>2049</v>
      </c>
      <c r="B516" s="154" t="s">
        <v>2050</v>
      </c>
    </row>
    <row r="517" ht="15.75" customHeight="1">
      <c r="A517" s="153" t="s">
        <v>2051</v>
      </c>
      <c r="B517" s="154" t="s">
        <v>2052</v>
      </c>
    </row>
    <row r="518" ht="15.75" customHeight="1">
      <c r="A518" s="153" t="s">
        <v>2053</v>
      </c>
      <c r="B518" s="154" t="s">
        <v>2054</v>
      </c>
    </row>
    <row r="519" ht="15.75" customHeight="1">
      <c r="A519" s="153" t="s">
        <v>2055</v>
      </c>
      <c r="B519" s="154" t="s">
        <v>2056</v>
      </c>
    </row>
    <row r="520" ht="15.75" customHeight="1">
      <c r="A520" s="153" t="s">
        <v>2057</v>
      </c>
      <c r="B520" s="154" t="s">
        <v>2058</v>
      </c>
    </row>
    <row r="521" ht="15.75" customHeight="1">
      <c r="A521" s="153" t="s">
        <v>2059</v>
      </c>
      <c r="B521" s="154" t="s">
        <v>2060</v>
      </c>
    </row>
    <row r="522" ht="15.75" customHeight="1">
      <c r="A522" s="153" t="s">
        <v>2061</v>
      </c>
      <c r="B522" s="154" t="s">
        <v>2062</v>
      </c>
    </row>
    <row r="523" ht="15.75" customHeight="1">
      <c r="A523" s="153" t="s">
        <v>2063</v>
      </c>
      <c r="B523" s="154" t="s">
        <v>2064</v>
      </c>
    </row>
    <row r="524" ht="15.75" customHeight="1">
      <c r="A524" s="153" t="s">
        <v>2065</v>
      </c>
      <c r="B524" s="154" t="s">
        <v>2066</v>
      </c>
    </row>
    <row r="525" ht="15.75" customHeight="1">
      <c r="A525" s="153" t="s">
        <v>2067</v>
      </c>
      <c r="B525" s="154" t="s">
        <v>2068</v>
      </c>
    </row>
    <row r="526" ht="15.75" customHeight="1">
      <c r="A526" s="153" t="s">
        <v>2069</v>
      </c>
      <c r="B526" s="154" t="s">
        <v>2070</v>
      </c>
    </row>
    <row r="527" ht="15.75" customHeight="1">
      <c r="A527" s="153" t="s">
        <v>2071</v>
      </c>
      <c r="B527" s="154" t="s">
        <v>2072</v>
      </c>
    </row>
    <row r="528" ht="15.75" customHeight="1">
      <c r="A528" s="153" t="s">
        <v>2073</v>
      </c>
      <c r="B528" s="154" t="s">
        <v>2074</v>
      </c>
    </row>
    <row r="529" ht="15.75" customHeight="1">
      <c r="A529" s="153" t="s">
        <v>2075</v>
      </c>
      <c r="B529" s="154" t="s">
        <v>2076</v>
      </c>
    </row>
    <row r="530" ht="15.75" customHeight="1">
      <c r="A530" s="153" t="s">
        <v>2077</v>
      </c>
      <c r="B530" s="154" t="s">
        <v>2078</v>
      </c>
    </row>
    <row r="531" ht="15.75" customHeight="1">
      <c r="A531" s="153" t="s">
        <v>2079</v>
      </c>
      <c r="B531" s="157" t="s">
        <v>2080</v>
      </c>
    </row>
    <row r="532" ht="15.75" customHeight="1">
      <c r="A532" s="153" t="s">
        <v>2081</v>
      </c>
      <c r="B532" s="157" t="s">
        <v>2082</v>
      </c>
    </row>
    <row r="533" ht="15.75" customHeight="1">
      <c r="A533" s="153" t="s">
        <v>2083</v>
      </c>
      <c r="B533" s="154" t="s">
        <v>2084</v>
      </c>
    </row>
    <row r="534" ht="15.75" customHeight="1">
      <c r="A534" s="153" t="s">
        <v>2085</v>
      </c>
      <c r="B534" s="154" t="s">
        <v>2086</v>
      </c>
    </row>
    <row r="535" ht="15.75" customHeight="1">
      <c r="A535" s="153" t="s">
        <v>2087</v>
      </c>
      <c r="B535" s="154" t="s">
        <v>2088</v>
      </c>
    </row>
    <row r="536" ht="15.75" customHeight="1">
      <c r="A536" s="153" t="s">
        <v>2089</v>
      </c>
      <c r="B536" s="154" t="s">
        <v>2090</v>
      </c>
    </row>
    <row r="537" ht="15.75" customHeight="1">
      <c r="A537" s="153" t="s">
        <v>2091</v>
      </c>
      <c r="B537" s="154" t="s">
        <v>2092</v>
      </c>
    </row>
    <row r="538" ht="15.75" customHeight="1">
      <c r="A538" s="153" t="s">
        <v>2093</v>
      </c>
      <c r="B538" s="154" t="s">
        <v>2094</v>
      </c>
    </row>
    <row r="539" ht="15.75" customHeight="1">
      <c r="A539" s="153" t="s">
        <v>2095</v>
      </c>
      <c r="B539" s="154" t="s">
        <v>2096</v>
      </c>
    </row>
    <row r="540" ht="15.75" customHeight="1">
      <c r="A540" s="153" t="s">
        <v>2097</v>
      </c>
      <c r="B540" s="154" t="s">
        <v>2098</v>
      </c>
    </row>
    <row r="541" ht="15.75" customHeight="1">
      <c r="A541" s="153" t="s">
        <v>2099</v>
      </c>
      <c r="B541" s="154" t="s">
        <v>2100</v>
      </c>
    </row>
    <row r="542" ht="15.75" customHeight="1">
      <c r="A542" s="153" t="s">
        <v>2101</v>
      </c>
      <c r="B542" s="154" t="s">
        <v>2102</v>
      </c>
    </row>
    <row r="543" ht="15.75" customHeight="1">
      <c r="A543" s="153" t="s">
        <v>2103</v>
      </c>
      <c r="B543" s="154" t="s">
        <v>2104</v>
      </c>
    </row>
    <row r="544" ht="15.75" customHeight="1">
      <c r="A544" s="153" t="s">
        <v>2105</v>
      </c>
      <c r="B544" s="154" t="s">
        <v>2106</v>
      </c>
    </row>
    <row r="545" ht="15.75" customHeight="1">
      <c r="A545" s="153" t="s">
        <v>2107</v>
      </c>
      <c r="B545" s="154" t="s">
        <v>2108</v>
      </c>
    </row>
    <row r="546" ht="15.75" customHeight="1">
      <c r="A546" s="153" t="s">
        <v>2109</v>
      </c>
      <c r="B546" s="157" t="s">
        <v>2110</v>
      </c>
    </row>
    <row r="547" ht="15.75" customHeight="1">
      <c r="A547" s="153" t="s">
        <v>2111</v>
      </c>
      <c r="B547" s="154" t="s">
        <v>2112</v>
      </c>
    </row>
    <row r="548" ht="15.75" customHeight="1">
      <c r="A548" s="153" t="s">
        <v>2113</v>
      </c>
      <c r="B548" s="154" t="s">
        <v>2114</v>
      </c>
    </row>
    <row r="549" ht="15.75" customHeight="1">
      <c r="A549" s="153" t="s">
        <v>2115</v>
      </c>
      <c r="B549" s="154" t="s">
        <v>2116</v>
      </c>
    </row>
    <row r="550" ht="15.75" customHeight="1">
      <c r="A550" s="153" t="s">
        <v>2117</v>
      </c>
      <c r="B550" s="154" t="s">
        <v>2118</v>
      </c>
    </row>
    <row r="551" ht="15.75" customHeight="1">
      <c r="A551" s="153" t="s">
        <v>2119</v>
      </c>
      <c r="B551" s="157" t="s">
        <v>2120</v>
      </c>
    </row>
    <row r="552" ht="15.75" customHeight="1">
      <c r="A552" s="153" t="s">
        <v>2121</v>
      </c>
      <c r="B552" s="154" t="s">
        <v>2122</v>
      </c>
    </row>
    <row r="553" ht="15.75" customHeight="1">
      <c r="A553" s="153" t="s">
        <v>2123</v>
      </c>
      <c r="B553" s="154" t="s">
        <v>2124</v>
      </c>
    </row>
    <row r="554" ht="15.75" customHeight="1">
      <c r="A554" s="153" t="s">
        <v>2125</v>
      </c>
      <c r="B554" s="157" t="s">
        <v>2126</v>
      </c>
    </row>
    <row r="555" ht="15.75" customHeight="1">
      <c r="A555" s="153" t="s">
        <v>2127</v>
      </c>
      <c r="B555" s="154" t="s">
        <v>2128</v>
      </c>
    </row>
    <row r="556" ht="15.75" customHeight="1">
      <c r="A556" s="153" t="s">
        <v>2129</v>
      </c>
      <c r="B556" s="154" t="s">
        <v>2130</v>
      </c>
    </row>
    <row r="557" ht="15.75" customHeight="1">
      <c r="A557" s="153" t="s">
        <v>2131</v>
      </c>
      <c r="B557" s="154" t="s">
        <v>2132</v>
      </c>
    </row>
    <row r="558" ht="15.75" customHeight="1">
      <c r="A558" s="153" t="s">
        <v>2133</v>
      </c>
      <c r="B558" s="154" t="s">
        <v>2134</v>
      </c>
    </row>
    <row r="559" ht="15.75" customHeight="1">
      <c r="A559" s="153" t="s">
        <v>2135</v>
      </c>
      <c r="B559" s="154" t="s">
        <v>2136</v>
      </c>
    </row>
    <row r="560" ht="15.75" customHeight="1">
      <c r="A560" s="153" t="s">
        <v>2137</v>
      </c>
      <c r="B560" s="154" t="s">
        <v>2138</v>
      </c>
    </row>
    <row r="561" ht="15.75" customHeight="1">
      <c r="A561" s="153" t="s">
        <v>2139</v>
      </c>
      <c r="B561" s="154" t="s">
        <v>2140</v>
      </c>
    </row>
    <row r="562" ht="15.75" customHeight="1">
      <c r="A562" s="153" t="s">
        <v>2141</v>
      </c>
      <c r="B562" s="154" t="s">
        <v>2142</v>
      </c>
    </row>
    <row r="563" ht="15.75" customHeight="1">
      <c r="A563" s="153" t="s">
        <v>2143</v>
      </c>
      <c r="B563" s="154" t="s">
        <v>2144</v>
      </c>
    </row>
    <row r="564" ht="15.75" customHeight="1">
      <c r="A564" s="153" t="s">
        <v>2145</v>
      </c>
      <c r="B564" s="154" t="s">
        <v>2146</v>
      </c>
    </row>
    <row r="565" ht="15.75" customHeight="1">
      <c r="A565" s="153" t="s">
        <v>2147</v>
      </c>
      <c r="B565" s="157" t="s">
        <v>2148</v>
      </c>
    </row>
    <row r="566" ht="15.75" customHeight="1">
      <c r="A566" s="153" t="s">
        <v>2149</v>
      </c>
      <c r="B566" s="154" t="s">
        <v>2150</v>
      </c>
    </row>
    <row r="567" ht="15.75" customHeight="1">
      <c r="A567" s="153" t="s">
        <v>2151</v>
      </c>
      <c r="B567" s="154" t="s">
        <v>2152</v>
      </c>
    </row>
    <row r="568" ht="15.75" customHeight="1">
      <c r="A568" s="153" t="s">
        <v>2153</v>
      </c>
      <c r="B568" s="154" t="s">
        <v>2154</v>
      </c>
    </row>
    <row r="569" ht="15.75" customHeight="1">
      <c r="A569" s="153" t="s">
        <v>2155</v>
      </c>
      <c r="B569" s="154" t="s">
        <v>2156</v>
      </c>
    </row>
    <row r="570" ht="15.75" customHeight="1">
      <c r="A570" s="153" t="s">
        <v>2157</v>
      </c>
      <c r="B570" s="154" t="s">
        <v>2158</v>
      </c>
    </row>
    <row r="571" ht="15.75" customHeight="1">
      <c r="A571" s="153" t="s">
        <v>2159</v>
      </c>
      <c r="B571" s="154" t="s">
        <v>2160</v>
      </c>
    </row>
    <row r="572" ht="15.75" customHeight="1">
      <c r="A572" s="153" t="s">
        <v>2161</v>
      </c>
      <c r="B572" s="154" t="s">
        <v>2162</v>
      </c>
    </row>
    <row r="573" ht="15.75" customHeight="1">
      <c r="A573" s="153" t="s">
        <v>2163</v>
      </c>
      <c r="B573" s="157" t="s">
        <v>2164</v>
      </c>
    </row>
    <row r="574" ht="15.75" customHeight="1">
      <c r="A574" s="153" t="s">
        <v>2165</v>
      </c>
      <c r="B574" s="157" t="s">
        <v>2166</v>
      </c>
    </row>
    <row r="575" ht="15.75" customHeight="1">
      <c r="A575" s="153" t="s">
        <v>2167</v>
      </c>
      <c r="B575" s="157" t="s">
        <v>2168</v>
      </c>
    </row>
    <row r="576" ht="15.75" customHeight="1">
      <c r="A576" s="153" t="s">
        <v>2169</v>
      </c>
      <c r="B576" s="154" t="s">
        <v>2170</v>
      </c>
    </row>
    <row r="577" ht="15.75" customHeight="1">
      <c r="A577" s="153" t="s">
        <v>2171</v>
      </c>
      <c r="B577" s="154" t="s">
        <v>2172</v>
      </c>
    </row>
    <row r="578" ht="15.75" customHeight="1">
      <c r="A578" s="153" t="s">
        <v>2173</v>
      </c>
      <c r="B578" s="154" t="s">
        <v>2174</v>
      </c>
    </row>
    <row r="579" ht="15.75" customHeight="1">
      <c r="A579" s="153" t="s">
        <v>2175</v>
      </c>
      <c r="B579" s="154" t="s">
        <v>2176</v>
      </c>
    </row>
    <row r="580" ht="15.75" customHeight="1">
      <c r="A580" s="153" t="s">
        <v>2177</v>
      </c>
      <c r="B580" s="154" t="s">
        <v>2178</v>
      </c>
    </row>
    <row r="581" ht="15.75" customHeight="1">
      <c r="A581" s="153" t="s">
        <v>2179</v>
      </c>
      <c r="B581" s="154" t="s">
        <v>2180</v>
      </c>
    </row>
    <row r="582" ht="15.75" customHeight="1">
      <c r="A582" s="153" t="s">
        <v>2181</v>
      </c>
      <c r="B582" s="154" t="s">
        <v>2182</v>
      </c>
    </row>
    <row r="583" ht="15.75" customHeight="1">
      <c r="A583" s="153" t="s">
        <v>2183</v>
      </c>
      <c r="B583" s="154" t="s">
        <v>2184</v>
      </c>
    </row>
    <row r="584" ht="15.75" customHeight="1">
      <c r="A584" s="153" t="s">
        <v>2185</v>
      </c>
      <c r="B584" s="154" t="s">
        <v>2186</v>
      </c>
    </row>
    <row r="585" ht="15.75" customHeight="1">
      <c r="A585" s="153" t="s">
        <v>2187</v>
      </c>
      <c r="B585" s="154" t="s">
        <v>2188</v>
      </c>
    </row>
    <row r="586" ht="15.75" customHeight="1">
      <c r="A586" s="153" t="s">
        <v>2189</v>
      </c>
      <c r="B586" s="154" t="s">
        <v>2190</v>
      </c>
    </row>
    <row r="587" ht="15.75" customHeight="1">
      <c r="A587" s="153" t="s">
        <v>2191</v>
      </c>
      <c r="B587" s="154" t="s">
        <v>2192</v>
      </c>
    </row>
    <row r="588" ht="15.75" customHeight="1">
      <c r="A588" s="153" t="s">
        <v>2193</v>
      </c>
      <c r="B588" s="154" t="s">
        <v>2194</v>
      </c>
    </row>
    <row r="589" ht="15.75" customHeight="1">
      <c r="A589" s="153" t="s">
        <v>2195</v>
      </c>
      <c r="B589" s="154" t="s">
        <v>2196</v>
      </c>
    </row>
    <row r="590" ht="15.75" customHeight="1">
      <c r="A590" s="153" t="s">
        <v>2197</v>
      </c>
      <c r="B590" s="154" t="s">
        <v>2198</v>
      </c>
    </row>
    <row r="591" ht="15.75" customHeight="1">
      <c r="A591" s="153" t="s">
        <v>2199</v>
      </c>
      <c r="B591" s="154" t="s">
        <v>2200</v>
      </c>
    </row>
    <row r="592" ht="15.75" customHeight="1">
      <c r="A592" s="153" t="s">
        <v>2201</v>
      </c>
      <c r="B592" s="154" t="s">
        <v>2202</v>
      </c>
    </row>
    <row r="593" ht="15.75" customHeight="1">
      <c r="A593" s="153" t="s">
        <v>2203</v>
      </c>
      <c r="B593" s="154" t="s">
        <v>2204</v>
      </c>
    </row>
    <row r="594" ht="15.75" customHeight="1">
      <c r="A594" s="153" t="s">
        <v>2205</v>
      </c>
      <c r="B594" s="154" t="s">
        <v>2206</v>
      </c>
    </row>
    <row r="595" ht="15.75" customHeight="1">
      <c r="A595" s="153" t="s">
        <v>2207</v>
      </c>
      <c r="B595" s="154" t="s">
        <v>2208</v>
      </c>
    </row>
    <row r="596" ht="15.75" customHeight="1">
      <c r="A596" s="153" t="s">
        <v>2209</v>
      </c>
      <c r="B596" s="154" t="s">
        <v>2210</v>
      </c>
    </row>
    <row r="597" ht="15.75" customHeight="1">
      <c r="A597" s="153" t="s">
        <v>2211</v>
      </c>
      <c r="B597" s="154" t="s">
        <v>2212</v>
      </c>
    </row>
    <row r="598" ht="15.75" customHeight="1">
      <c r="A598" s="153" t="s">
        <v>2213</v>
      </c>
      <c r="B598" s="157" t="s">
        <v>2214</v>
      </c>
    </row>
    <row r="599" ht="15.75" customHeight="1">
      <c r="A599" s="153" t="s">
        <v>2215</v>
      </c>
      <c r="B599" s="154" t="s">
        <v>2216</v>
      </c>
    </row>
    <row r="600" ht="15.75" customHeight="1">
      <c r="A600" s="153" t="s">
        <v>2217</v>
      </c>
      <c r="B600" s="154" t="s">
        <v>2218</v>
      </c>
    </row>
    <row r="601" ht="15.75" customHeight="1">
      <c r="A601" s="153" t="s">
        <v>2219</v>
      </c>
      <c r="B601" s="154" t="s">
        <v>2220</v>
      </c>
    </row>
    <row r="602" ht="15.75" customHeight="1">
      <c r="A602" s="153" t="s">
        <v>2221</v>
      </c>
      <c r="B602" s="154" t="s">
        <v>2222</v>
      </c>
    </row>
    <row r="603" ht="15.75" customHeight="1">
      <c r="A603" s="153" t="s">
        <v>2223</v>
      </c>
      <c r="B603" s="154" t="s">
        <v>2224</v>
      </c>
    </row>
    <row r="604" ht="15.75" customHeight="1">
      <c r="A604" s="153" t="s">
        <v>2225</v>
      </c>
      <c r="B604" s="157" t="s">
        <v>2226</v>
      </c>
    </row>
    <row r="605" ht="15.75" customHeight="1">
      <c r="A605" s="153" t="s">
        <v>2227</v>
      </c>
      <c r="B605" s="154" t="s">
        <v>2228</v>
      </c>
    </row>
    <row r="606" ht="15.75" customHeight="1">
      <c r="A606" s="153" t="s">
        <v>2229</v>
      </c>
      <c r="B606" s="154" t="s">
        <v>2230</v>
      </c>
    </row>
    <row r="607" ht="15.75" customHeight="1">
      <c r="A607" s="153" t="s">
        <v>2231</v>
      </c>
      <c r="B607" s="154" t="s">
        <v>2232</v>
      </c>
    </row>
    <row r="608" ht="15.75" customHeight="1">
      <c r="A608" s="153" t="s">
        <v>2233</v>
      </c>
      <c r="B608" s="154" t="s">
        <v>2234</v>
      </c>
    </row>
    <row r="609" ht="15.75" customHeight="1">
      <c r="A609" s="153" t="s">
        <v>2236</v>
      </c>
      <c r="B609" s="154" t="s">
        <v>2237</v>
      </c>
    </row>
    <row r="610" ht="15.75" customHeight="1">
      <c r="A610" s="153" t="s">
        <v>2238</v>
      </c>
      <c r="B610" s="154" t="s">
        <v>2239</v>
      </c>
    </row>
    <row r="611" ht="15.75" customHeight="1">
      <c r="A611" s="153" t="s">
        <v>2240</v>
      </c>
      <c r="B611" s="154" t="s">
        <v>2241</v>
      </c>
    </row>
    <row r="612" ht="15.75" customHeight="1">
      <c r="A612" s="153" t="s">
        <v>2242</v>
      </c>
      <c r="B612" s="154" t="s">
        <v>2243</v>
      </c>
    </row>
    <row r="613" ht="15.75" customHeight="1">
      <c r="A613" s="153" t="s">
        <v>2244</v>
      </c>
      <c r="B613" s="154" t="s">
        <v>2245</v>
      </c>
    </row>
    <row r="614" ht="15.75" customHeight="1">
      <c r="A614" s="153" t="s">
        <v>2246</v>
      </c>
      <c r="B614" s="154" t="s">
        <v>2247</v>
      </c>
    </row>
    <row r="615" ht="15.75" customHeight="1">
      <c r="A615" s="153" t="s">
        <v>2248</v>
      </c>
      <c r="B615" s="154" t="s">
        <v>2249</v>
      </c>
    </row>
    <row r="616" ht="15.75" customHeight="1">
      <c r="A616" s="153" t="s">
        <v>2250</v>
      </c>
      <c r="B616" s="154" t="s">
        <v>2251</v>
      </c>
    </row>
    <row r="617" ht="15.75" customHeight="1">
      <c r="A617" s="153" t="s">
        <v>2252</v>
      </c>
      <c r="B617" s="154" t="s">
        <v>2253</v>
      </c>
    </row>
    <row r="618" ht="15.75" customHeight="1">
      <c r="A618" s="153" t="s">
        <v>2254</v>
      </c>
      <c r="B618" s="154" t="s">
        <v>2255</v>
      </c>
    </row>
    <row r="619" ht="15.75" customHeight="1">
      <c r="A619" s="153" t="s">
        <v>2256</v>
      </c>
      <c r="B619" s="154" t="s">
        <v>2257</v>
      </c>
    </row>
    <row r="620" ht="15.75" customHeight="1">
      <c r="A620" s="153" t="s">
        <v>2258</v>
      </c>
      <c r="B620" s="154" t="s">
        <v>2259</v>
      </c>
    </row>
    <row r="621" ht="15.75" customHeight="1">
      <c r="A621" s="153" t="s">
        <v>2260</v>
      </c>
      <c r="B621" s="154" t="s">
        <v>2261</v>
      </c>
    </row>
    <row r="622" ht="15.75" customHeight="1">
      <c r="A622" s="153" t="s">
        <v>2262</v>
      </c>
      <c r="B622" s="154" t="s">
        <v>2263</v>
      </c>
    </row>
    <row r="623" ht="15.75" customHeight="1">
      <c r="A623" s="153" t="s">
        <v>2264</v>
      </c>
      <c r="B623" s="154" t="s">
        <v>2265</v>
      </c>
    </row>
    <row r="624" ht="15.75" customHeight="1">
      <c r="A624" s="153" t="s">
        <v>2266</v>
      </c>
      <c r="B624" s="154" t="s">
        <v>2267</v>
      </c>
    </row>
    <row r="625" ht="15.75" customHeight="1">
      <c r="A625" s="153" t="s">
        <v>2268</v>
      </c>
      <c r="B625" s="154" t="s">
        <v>2269</v>
      </c>
    </row>
    <row r="626" ht="15.75" customHeight="1">
      <c r="A626" s="153" t="s">
        <v>2270</v>
      </c>
      <c r="B626" s="154" t="s">
        <v>2271</v>
      </c>
    </row>
    <row r="627" ht="15.75" customHeight="1">
      <c r="A627" s="153" t="s">
        <v>2272</v>
      </c>
      <c r="B627" s="154" t="s">
        <v>2273</v>
      </c>
    </row>
    <row r="628" ht="15.75" customHeight="1">
      <c r="A628" s="153" t="s">
        <v>2274</v>
      </c>
      <c r="B628" s="154" t="s">
        <v>2275</v>
      </c>
    </row>
    <row r="629" ht="15.75" customHeight="1">
      <c r="A629" s="153" t="s">
        <v>2276</v>
      </c>
      <c r="B629" s="154" t="s">
        <v>2277</v>
      </c>
    </row>
    <row r="630" ht="15.75" customHeight="1">
      <c r="A630" s="153" t="s">
        <v>2278</v>
      </c>
      <c r="B630" s="154" t="s">
        <v>2279</v>
      </c>
    </row>
    <row r="631" ht="15.75" customHeight="1">
      <c r="A631" s="155" t="s">
        <v>2280</v>
      </c>
      <c r="B631" s="156" t="s">
        <v>2281</v>
      </c>
    </row>
    <row r="632" ht="15.75" customHeight="1">
      <c r="A632" s="155" t="s">
        <v>2282</v>
      </c>
      <c r="B632" s="156" t="s">
        <v>2283</v>
      </c>
    </row>
    <row r="633" ht="15.75" customHeight="1">
      <c r="A633" s="155" t="s">
        <v>2284</v>
      </c>
      <c r="B633" s="156" t="s">
        <v>2285</v>
      </c>
    </row>
    <row r="634" ht="15.75" customHeight="1">
      <c r="A634" s="155" t="s">
        <v>2286</v>
      </c>
      <c r="B634" s="156" t="s">
        <v>2287</v>
      </c>
    </row>
    <row r="635" ht="15.75" customHeight="1">
      <c r="A635" s="161" t="s">
        <v>190</v>
      </c>
      <c r="B635" s="159" t="s">
        <v>2288</v>
      </c>
    </row>
    <row r="636" ht="15.75" customHeight="1">
      <c r="A636" s="158" t="s">
        <v>208</v>
      </c>
      <c r="B636" s="159" t="s">
        <v>2289</v>
      </c>
    </row>
    <row r="637" ht="15.75" customHeight="1">
      <c r="A637" s="161" t="s">
        <v>2290</v>
      </c>
      <c r="B637" s="159" t="s">
        <v>2291</v>
      </c>
    </row>
    <row r="638" ht="15.75" customHeight="1">
      <c r="A638" s="158" t="s">
        <v>277</v>
      </c>
      <c r="B638" s="159" t="s">
        <v>2292</v>
      </c>
    </row>
    <row r="639" ht="15.75" customHeight="1">
      <c r="A639" s="158" t="s">
        <v>289</v>
      </c>
      <c r="B639" s="159" t="s">
        <v>2293</v>
      </c>
    </row>
    <row r="640" ht="15.75" customHeight="1">
      <c r="A640" s="158" t="s">
        <v>338</v>
      </c>
      <c r="B640" s="159" t="s">
        <v>2294</v>
      </c>
    </row>
    <row r="641" ht="15.75" customHeight="1">
      <c r="A641" s="158" t="s">
        <v>370</v>
      </c>
      <c r="B641" s="159" t="s">
        <v>2295</v>
      </c>
    </row>
    <row r="642" ht="15.75" customHeight="1">
      <c r="A642" s="158" t="s">
        <v>385</v>
      </c>
      <c r="B642" s="159" t="s">
        <v>2296</v>
      </c>
    </row>
    <row r="643" ht="15.75" customHeight="1">
      <c r="A643" s="161" t="s">
        <v>388</v>
      </c>
      <c r="B643" s="159" t="s">
        <v>2297</v>
      </c>
    </row>
    <row r="644" ht="15.75" customHeight="1">
      <c r="A644" s="161" t="s">
        <v>427</v>
      </c>
      <c r="B644" s="159" t="s">
        <v>2298</v>
      </c>
    </row>
    <row r="645" ht="15.75" customHeight="1">
      <c r="A645" s="161" t="s">
        <v>479</v>
      </c>
      <c r="B645" s="159" t="s">
        <v>2299</v>
      </c>
    </row>
    <row r="646" ht="15.75" customHeight="1">
      <c r="A646" s="161" t="s">
        <v>496</v>
      </c>
      <c r="B646" s="159" t="s">
        <v>2300</v>
      </c>
    </row>
    <row r="647" ht="15.75" customHeight="1">
      <c r="A647" s="161" t="s">
        <v>555</v>
      </c>
      <c r="B647" s="159" t="s">
        <v>2301</v>
      </c>
    </row>
    <row r="648" ht="15.75" customHeight="1">
      <c r="A648" s="161" t="s">
        <v>563</v>
      </c>
      <c r="B648" s="159" t="s">
        <v>2302</v>
      </c>
    </row>
    <row r="649" ht="15.75" customHeight="1">
      <c r="A649" s="161" t="s">
        <v>2303</v>
      </c>
      <c r="B649" s="159" t="s">
        <v>2304</v>
      </c>
    </row>
    <row r="650" ht="15.75" customHeight="1">
      <c r="A650" s="161" t="s">
        <v>2305</v>
      </c>
      <c r="B650" s="159" t="s">
        <v>2306</v>
      </c>
    </row>
    <row r="651" ht="15.75" customHeight="1">
      <c r="A651" s="161" t="s">
        <v>776</v>
      </c>
      <c r="B651" s="159" t="s">
        <v>2307</v>
      </c>
    </row>
    <row r="652" ht="15.75" customHeight="1">
      <c r="A652" s="161" t="s">
        <v>781</v>
      </c>
      <c r="B652" s="159" t="s">
        <v>2308</v>
      </c>
    </row>
    <row r="653" ht="15.75" customHeight="1">
      <c r="A653" s="161" t="s">
        <v>802</v>
      </c>
      <c r="B653" s="159" t="s">
        <v>2309</v>
      </c>
    </row>
    <row r="654" ht="15.75" customHeight="1">
      <c r="A654" s="161" t="s">
        <v>2310</v>
      </c>
      <c r="B654" s="159" t="s">
        <v>2311</v>
      </c>
    </row>
    <row r="655" ht="15.75" customHeight="1">
      <c r="A655" s="161" t="s">
        <v>842</v>
      </c>
      <c r="B655" s="159" t="s">
        <v>2312</v>
      </c>
    </row>
    <row r="656" ht="15.75" customHeight="1">
      <c r="A656" s="161" t="s">
        <v>808</v>
      </c>
      <c r="B656" s="159" t="s">
        <v>2314</v>
      </c>
    </row>
    <row r="657" ht="15.75" customHeight="1">
      <c r="A657" s="161" t="s">
        <v>924</v>
      </c>
      <c r="B657" s="159" t="s">
        <v>2315</v>
      </c>
    </row>
    <row r="658" ht="15.75" customHeight="1">
      <c r="A658" s="161" t="s">
        <v>194</v>
      </c>
      <c r="B658" s="159" t="s">
        <v>2317</v>
      </c>
    </row>
    <row r="659" ht="15.75" customHeight="1">
      <c r="A659" s="161" t="s">
        <v>465</v>
      </c>
      <c r="B659" s="159" t="s">
        <v>2318</v>
      </c>
    </row>
    <row r="660" ht="15.75" customHeight="1">
      <c r="A660" s="172" t="s">
        <v>2319</v>
      </c>
      <c r="B660" s="159" t="s">
        <v>2335</v>
      </c>
    </row>
    <row r="661" ht="15.75" customHeight="1">
      <c r="A661" s="172">
        <v>1.1</v>
      </c>
      <c r="B661" s="159" t="s">
        <v>2336</v>
      </c>
    </row>
    <row r="662" ht="15.75" customHeight="1">
      <c r="A662" s="172" t="s">
        <v>2337</v>
      </c>
      <c r="B662" s="159" t="s">
        <v>2338</v>
      </c>
    </row>
    <row r="663" ht="15.75" customHeight="1">
      <c r="A663" s="172" t="s">
        <v>2339</v>
      </c>
      <c r="B663" s="159" t="s">
        <v>2340</v>
      </c>
    </row>
    <row r="664" ht="15.75" customHeight="1">
      <c r="A664" s="172" t="s">
        <v>2341</v>
      </c>
      <c r="B664" s="159" t="s">
        <v>2342</v>
      </c>
    </row>
    <row r="665" ht="15.75" customHeight="1">
      <c r="A665" s="172" t="s">
        <v>2343</v>
      </c>
      <c r="B665" s="159" t="s">
        <v>2344</v>
      </c>
    </row>
    <row r="666" ht="15.75" customHeight="1">
      <c r="A666" s="172" t="s">
        <v>2345</v>
      </c>
      <c r="B666" s="159" t="s">
        <v>2346</v>
      </c>
    </row>
    <row r="667" ht="15.75" customHeight="1">
      <c r="A667" s="172" t="s">
        <v>2347</v>
      </c>
      <c r="B667" s="159" t="s">
        <v>2348</v>
      </c>
    </row>
    <row r="668" ht="15.75" customHeight="1">
      <c r="A668" s="172" t="s">
        <v>2349</v>
      </c>
      <c r="B668" s="159" t="s">
        <v>2350</v>
      </c>
    </row>
    <row r="669" ht="15.75" customHeight="1">
      <c r="A669" s="172">
        <v>1.2</v>
      </c>
      <c r="B669" s="159" t="s">
        <v>2351</v>
      </c>
    </row>
    <row r="670" ht="15.75" customHeight="1">
      <c r="A670" s="172" t="s">
        <v>2352</v>
      </c>
      <c r="B670" s="159" t="s">
        <v>2353</v>
      </c>
    </row>
    <row r="671" ht="15.75" customHeight="1">
      <c r="A671" s="172" t="s">
        <v>2354</v>
      </c>
      <c r="B671" s="159" t="s">
        <v>2355</v>
      </c>
    </row>
    <row r="672" ht="15.75" customHeight="1">
      <c r="A672" s="172" t="s">
        <v>2356</v>
      </c>
      <c r="B672" s="159" t="s">
        <v>2357</v>
      </c>
    </row>
    <row r="673" ht="15.75" customHeight="1">
      <c r="A673" s="172">
        <v>1.3</v>
      </c>
      <c r="B673" s="159" t="s">
        <v>2358</v>
      </c>
    </row>
    <row r="674" ht="15.75" customHeight="1">
      <c r="A674" s="172" t="s">
        <v>2359</v>
      </c>
      <c r="B674" s="159" t="s">
        <v>2360</v>
      </c>
    </row>
    <row r="675" ht="15.75" customHeight="1">
      <c r="A675" s="172" t="s">
        <v>2361</v>
      </c>
      <c r="B675" s="159" t="s">
        <v>2362</v>
      </c>
    </row>
    <row r="676" ht="15.75" customHeight="1">
      <c r="A676" s="172" t="s">
        <v>2363</v>
      </c>
      <c r="B676" s="159" t="s">
        <v>2364</v>
      </c>
    </row>
    <row r="677" ht="15.75" customHeight="1">
      <c r="A677" s="172" t="s">
        <v>2365</v>
      </c>
      <c r="B677" s="159" t="s">
        <v>2366</v>
      </c>
    </row>
    <row r="678" ht="15.75" customHeight="1">
      <c r="A678" s="172" t="s">
        <v>2367</v>
      </c>
      <c r="B678" s="159" t="s">
        <v>2368</v>
      </c>
    </row>
    <row r="679" ht="15.75" customHeight="1">
      <c r="A679" s="172" t="s">
        <v>2369</v>
      </c>
      <c r="B679" s="159" t="s">
        <v>2370</v>
      </c>
    </row>
    <row r="680" ht="15.75" customHeight="1">
      <c r="A680" s="172" t="s">
        <v>2371</v>
      </c>
      <c r="B680" s="159" t="s">
        <v>2372</v>
      </c>
    </row>
    <row r="681" ht="15.75" customHeight="1">
      <c r="A681" s="172">
        <v>1.4</v>
      </c>
      <c r="B681" s="159" t="s">
        <v>2373</v>
      </c>
    </row>
    <row r="682" ht="15.75" customHeight="1">
      <c r="A682" s="172">
        <v>1.5</v>
      </c>
      <c r="B682" s="159" t="s">
        <v>2374</v>
      </c>
    </row>
    <row r="683" ht="15.75" customHeight="1">
      <c r="A683" s="172" t="s">
        <v>2375</v>
      </c>
      <c r="B683" s="159" t="s">
        <v>2376</v>
      </c>
    </row>
    <row r="684" ht="15.75" customHeight="1">
      <c r="A684" s="172">
        <v>2.1</v>
      </c>
      <c r="B684" s="159" t="s">
        <v>2377</v>
      </c>
    </row>
    <row r="685" ht="15.75" customHeight="1">
      <c r="A685" s="172" t="s">
        <v>2378</v>
      </c>
      <c r="B685" s="159" t="s">
        <v>2379</v>
      </c>
    </row>
    <row r="686" ht="15.75" customHeight="1">
      <c r="A686" s="172">
        <v>2.2</v>
      </c>
      <c r="B686" s="159" t="s">
        <v>2380</v>
      </c>
    </row>
    <row r="687" ht="15.75" customHeight="1">
      <c r="A687" s="172" t="s">
        <v>2381</v>
      </c>
      <c r="B687" s="159" t="s">
        <v>2382</v>
      </c>
    </row>
    <row r="688" ht="15.75" customHeight="1">
      <c r="A688" s="172" t="s">
        <v>2383</v>
      </c>
      <c r="B688" s="159" t="s">
        <v>2384</v>
      </c>
    </row>
    <row r="689" ht="15.75" customHeight="1">
      <c r="A689" s="172" t="s">
        <v>2385</v>
      </c>
      <c r="B689" s="159" t="s">
        <v>2386</v>
      </c>
    </row>
    <row r="690" ht="15.75" customHeight="1">
      <c r="A690" s="172" t="s">
        <v>2387</v>
      </c>
      <c r="B690" s="159" t="s">
        <v>2388</v>
      </c>
    </row>
    <row r="691" ht="15.75" customHeight="1">
      <c r="A691" s="172" t="s">
        <v>2389</v>
      </c>
      <c r="B691" s="159" t="s">
        <v>2390</v>
      </c>
    </row>
    <row r="692" ht="15.75" customHeight="1">
      <c r="A692" s="172">
        <v>2.3</v>
      </c>
      <c r="B692" s="159" t="s">
        <v>2391</v>
      </c>
    </row>
    <row r="693" ht="15.75" customHeight="1">
      <c r="A693" s="172">
        <v>2.4</v>
      </c>
      <c r="B693" s="159" t="s">
        <v>2392</v>
      </c>
    </row>
    <row r="694" ht="15.75" customHeight="1">
      <c r="A694" s="172">
        <v>2.5</v>
      </c>
      <c r="B694" s="159" t="s">
        <v>2393</v>
      </c>
    </row>
    <row r="695" ht="15.75" customHeight="1">
      <c r="A695" s="172">
        <v>2.6</v>
      </c>
      <c r="B695" s="159" t="s">
        <v>2394</v>
      </c>
    </row>
    <row r="696" ht="15.75" customHeight="1">
      <c r="A696" s="172" t="s">
        <v>2395</v>
      </c>
      <c r="B696" s="159" t="s">
        <v>2396</v>
      </c>
    </row>
    <row r="697" ht="15.75" customHeight="1">
      <c r="A697" s="172">
        <v>3.1</v>
      </c>
      <c r="B697" s="159" t="s">
        <v>2397</v>
      </c>
    </row>
    <row r="698" ht="15.75" customHeight="1">
      <c r="A698" s="172">
        <v>3.2</v>
      </c>
      <c r="B698" s="159" t="s">
        <v>2398</v>
      </c>
    </row>
    <row r="699" ht="15.75" customHeight="1">
      <c r="A699" s="172" t="s">
        <v>872</v>
      </c>
      <c r="B699" s="159" t="s">
        <v>2399</v>
      </c>
    </row>
    <row r="700" ht="15.75" customHeight="1">
      <c r="A700" s="172" t="s">
        <v>958</v>
      </c>
      <c r="B700" s="159" t="s">
        <v>2400</v>
      </c>
    </row>
    <row r="701" ht="15.75" customHeight="1">
      <c r="A701" s="172" t="s">
        <v>1593</v>
      </c>
      <c r="B701" s="159" t="s">
        <v>2401</v>
      </c>
    </row>
    <row r="702" ht="15.75" customHeight="1">
      <c r="A702" s="172">
        <v>3.3</v>
      </c>
      <c r="B702" s="159" t="s">
        <v>2402</v>
      </c>
    </row>
    <row r="703" ht="15.75" customHeight="1">
      <c r="A703" s="172">
        <v>3.4</v>
      </c>
      <c r="B703" s="159" t="s">
        <v>2403</v>
      </c>
    </row>
    <row r="704" ht="15.75" customHeight="1">
      <c r="A704" s="172" t="s">
        <v>1611</v>
      </c>
      <c r="B704" s="159" t="s">
        <v>2404</v>
      </c>
    </row>
    <row r="705" ht="15.75" customHeight="1">
      <c r="A705" s="172">
        <v>3.5</v>
      </c>
      <c r="B705" s="159" t="s">
        <v>2405</v>
      </c>
    </row>
    <row r="706" ht="15.75" customHeight="1">
      <c r="A706" s="172" t="s">
        <v>337</v>
      </c>
      <c r="B706" s="159" t="s">
        <v>2406</v>
      </c>
    </row>
    <row r="707" ht="15.75" customHeight="1">
      <c r="A707" s="172" t="s">
        <v>1628</v>
      </c>
      <c r="B707" s="159" t="s">
        <v>2407</v>
      </c>
    </row>
    <row r="708" ht="15.75" customHeight="1">
      <c r="A708" s="172" t="s">
        <v>1630</v>
      </c>
      <c r="B708" s="159" t="s">
        <v>2408</v>
      </c>
    </row>
    <row r="709" ht="15.75" customHeight="1">
      <c r="A709" s="172" t="s">
        <v>1632</v>
      </c>
      <c r="B709" s="159" t="s">
        <v>2409</v>
      </c>
    </row>
    <row r="710" ht="15.75" customHeight="1">
      <c r="A710" s="172">
        <v>3.6</v>
      </c>
      <c r="B710" s="159" t="s">
        <v>2410</v>
      </c>
    </row>
    <row r="711" ht="15.75" customHeight="1">
      <c r="A711" s="172" t="s">
        <v>1644</v>
      </c>
      <c r="B711" s="159" t="s">
        <v>2411</v>
      </c>
    </row>
    <row r="712" ht="15.75" customHeight="1">
      <c r="A712" s="172" t="s">
        <v>685</v>
      </c>
      <c r="B712" s="159" t="s">
        <v>2412</v>
      </c>
    </row>
    <row r="713" ht="15.75" customHeight="1">
      <c r="A713" s="172" t="s">
        <v>1647</v>
      </c>
      <c r="B713" s="159" t="s">
        <v>2413</v>
      </c>
    </row>
    <row r="714" ht="15.75" customHeight="1">
      <c r="A714" s="172" t="s">
        <v>2414</v>
      </c>
      <c r="B714" s="159" t="s">
        <v>2415</v>
      </c>
    </row>
    <row r="715" ht="15.75" customHeight="1">
      <c r="A715" s="172" t="s">
        <v>2416</v>
      </c>
      <c r="B715" s="159" t="s">
        <v>2417</v>
      </c>
    </row>
    <row r="716" ht="15.75" customHeight="1">
      <c r="A716" s="172" t="s">
        <v>2418</v>
      </c>
      <c r="B716" s="159" t="s">
        <v>2419</v>
      </c>
    </row>
    <row r="717" ht="15.75" customHeight="1">
      <c r="A717" s="172" t="s">
        <v>2420</v>
      </c>
      <c r="B717" s="159" t="s">
        <v>2421</v>
      </c>
    </row>
    <row r="718" ht="15.75" customHeight="1">
      <c r="A718" s="172" t="s">
        <v>2422</v>
      </c>
      <c r="B718" s="159" t="s">
        <v>2423</v>
      </c>
    </row>
    <row r="719" ht="15.75" customHeight="1">
      <c r="A719" s="172">
        <v>3.7</v>
      </c>
      <c r="B719" s="159" t="s">
        <v>2424</v>
      </c>
    </row>
    <row r="720" ht="15.75" customHeight="1">
      <c r="A720" s="172" t="s">
        <v>2425</v>
      </c>
      <c r="B720" s="159" t="s">
        <v>2426</v>
      </c>
    </row>
    <row r="721" ht="15.75" customHeight="1">
      <c r="A721" s="172">
        <v>4.1</v>
      </c>
      <c r="B721" s="159" t="s">
        <v>2427</v>
      </c>
    </row>
    <row r="722" ht="15.75" customHeight="1">
      <c r="A722" s="172" t="s">
        <v>2428</v>
      </c>
      <c r="B722" s="159" t="s">
        <v>2429</v>
      </c>
    </row>
    <row r="723" ht="15.75" customHeight="1">
      <c r="A723" s="172">
        <v>4.2</v>
      </c>
      <c r="B723" s="159" t="s">
        <v>2430</v>
      </c>
    </row>
    <row r="724" ht="15.75" customHeight="1">
      <c r="A724" s="172">
        <v>4.3</v>
      </c>
      <c r="B724" s="159" t="s">
        <v>2431</v>
      </c>
    </row>
    <row r="725" ht="15.75" customHeight="1">
      <c r="A725" s="172" t="s">
        <v>2432</v>
      </c>
      <c r="B725" s="159" t="s">
        <v>2433</v>
      </c>
    </row>
    <row r="726" ht="15.75" customHeight="1">
      <c r="A726" s="172">
        <v>5.1</v>
      </c>
      <c r="B726" s="159" t="s">
        <v>2434</v>
      </c>
    </row>
    <row r="727" ht="15.75" customHeight="1">
      <c r="A727" s="172" t="s">
        <v>799</v>
      </c>
      <c r="B727" s="159" t="s">
        <v>2435</v>
      </c>
    </row>
    <row r="728" ht="15.75" customHeight="1">
      <c r="A728" s="172" t="s">
        <v>1172</v>
      </c>
      <c r="B728" s="159" t="s">
        <v>2436</v>
      </c>
    </row>
    <row r="729" ht="15.75" customHeight="1">
      <c r="A729" s="172">
        <v>5.2</v>
      </c>
      <c r="B729" s="159" t="s">
        <v>2437</v>
      </c>
    </row>
    <row r="730" ht="15.75" customHeight="1">
      <c r="A730" s="172">
        <v>5.3</v>
      </c>
      <c r="B730" s="159" t="s">
        <v>2438</v>
      </c>
    </row>
    <row r="731" ht="15.75" customHeight="1">
      <c r="A731" s="172">
        <v>5.4</v>
      </c>
      <c r="B731" s="159" t="s">
        <v>2439</v>
      </c>
    </row>
    <row r="732" ht="15.75" customHeight="1">
      <c r="A732" s="172" t="s">
        <v>2440</v>
      </c>
      <c r="B732" s="159" t="s">
        <v>2441</v>
      </c>
    </row>
    <row r="733" ht="15.75" customHeight="1">
      <c r="A733" s="172">
        <v>6.1</v>
      </c>
      <c r="B733" s="159" t="s">
        <v>2442</v>
      </c>
    </row>
    <row r="734" ht="15.75" customHeight="1">
      <c r="A734" s="172">
        <v>6.2</v>
      </c>
      <c r="B734" s="159" t="s">
        <v>2443</v>
      </c>
    </row>
    <row r="735" ht="15.75" customHeight="1">
      <c r="A735" s="172">
        <v>6.3</v>
      </c>
      <c r="B735" s="159" t="s">
        <v>2444</v>
      </c>
    </row>
    <row r="736" ht="15.75" customHeight="1">
      <c r="A736" s="172" t="s">
        <v>2445</v>
      </c>
      <c r="B736" s="159" t="s">
        <v>2446</v>
      </c>
    </row>
    <row r="737" ht="15.75" customHeight="1">
      <c r="A737" s="172" t="s">
        <v>823</v>
      </c>
      <c r="B737" s="159" t="s">
        <v>2447</v>
      </c>
    </row>
    <row r="738" ht="15.75" customHeight="1">
      <c r="A738" s="172">
        <v>6.4</v>
      </c>
      <c r="B738" s="159" t="s">
        <v>2448</v>
      </c>
    </row>
    <row r="739" ht="15.75" customHeight="1">
      <c r="A739" s="172" t="s">
        <v>2449</v>
      </c>
      <c r="B739" s="159" t="s">
        <v>2450</v>
      </c>
    </row>
    <row r="740" ht="15.75" customHeight="1">
      <c r="A740" s="172" t="s">
        <v>2451</v>
      </c>
      <c r="B740" s="159" t="s">
        <v>2452</v>
      </c>
    </row>
    <row r="741" ht="15.75" customHeight="1">
      <c r="A741" s="172" t="s">
        <v>2453</v>
      </c>
      <c r="B741" s="159" t="s">
        <v>2454</v>
      </c>
    </row>
    <row r="742" ht="15.75" customHeight="1">
      <c r="A742" s="172" t="s">
        <v>2455</v>
      </c>
      <c r="B742" s="159" t="s">
        <v>2456</v>
      </c>
    </row>
    <row r="743" ht="15.75" customHeight="1">
      <c r="A743" s="172" t="s">
        <v>809</v>
      </c>
      <c r="B743" s="159" t="s">
        <v>2457</v>
      </c>
    </row>
    <row r="744" ht="15.75" customHeight="1">
      <c r="A744" s="172" t="s">
        <v>2458</v>
      </c>
      <c r="B744" s="159" t="s">
        <v>2459</v>
      </c>
    </row>
    <row r="745" ht="15.75" customHeight="1">
      <c r="A745" s="172" t="s">
        <v>2460</v>
      </c>
      <c r="B745" s="159" t="s">
        <v>2461</v>
      </c>
    </row>
    <row r="746" ht="15.75" customHeight="1">
      <c r="A746" s="172" t="s">
        <v>2462</v>
      </c>
      <c r="B746" s="159" t="s">
        <v>2463</v>
      </c>
    </row>
    <row r="747" ht="15.75" customHeight="1">
      <c r="A747" s="172" t="s">
        <v>2464</v>
      </c>
      <c r="B747" s="159" t="s">
        <v>2465</v>
      </c>
    </row>
    <row r="748" ht="15.75" customHeight="1">
      <c r="A748" s="172" t="s">
        <v>2466</v>
      </c>
      <c r="B748" s="159" t="s">
        <v>2467</v>
      </c>
    </row>
    <row r="749" ht="15.75" customHeight="1">
      <c r="A749" s="172">
        <v>6.5</v>
      </c>
      <c r="B749" s="159" t="s">
        <v>2468</v>
      </c>
    </row>
    <row r="750" ht="15.75" customHeight="1">
      <c r="A750" s="172" t="s">
        <v>2469</v>
      </c>
      <c r="B750" s="159" t="s">
        <v>2470</v>
      </c>
    </row>
    <row r="751" ht="15.75" customHeight="1">
      <c r="A751" s="172" t="s">
        <v>2471</v>
      </c>
      <c r="B751" s="159" t="s">
        <v>2472</v>
      </c>
    </row>
    <row r="752" ht="15.75" customHeight="1">
      <c r="A752" s="172" t="s">
        <v>2473</v>
      </c>
      <c r="B752" s="159" t="s">
        <v>2474</v>
      </c>
    </row>
    <row r="753" ht="15.75" customHeight="1">
      <c r="A753" s="172" t="s">
        <v>2475</v>
      </c>
      <c r="B753" s="159" t="s">
        <v>2476</v>
      </c>
    </row>
    <row r="754" ht="15.75" customHeight="1">
      <c r="A754" s="172" t="s">
        <v>2477</v>
      </c>
      <c r="B754" s="159" t="s">
        <v>2478</v>
      </c>
    </row>
    <row r="755" ht="15.75" customHeight="1">
      <c r="A755" s="172" t="s">
        <v>2479</v>
      </c>
      <c r="B755" s="159" t="s">
        <v>2480</v>
      </c>
    </row>
    <row r="756" ht="15.75" customHeight="1">
      <c r="A756" s="172" t="s">
        <v>2481</v>
      </c>
      <c r="B756" s="159" t="s">
        <v>2482</v>
      </c>
    </row>
    <row r="757" ht="15.75" customHeight="1">
      <c r="A757" s="172" t="s">
        <v>2483</v>
      </c>
      <c r="B757" s="159" t="s">
        <v>2484</v>
      </c>
    </row>
    <row r="758" ht="15.75" customHeight="1">
      <c r="A758" s="172" t="s">
        <v>2485</v>
      </c>
      <c r="B758" s="159" t="s">
        <v>2486</v>
      </c>
    </row>
    <row r="759" ht="15.75" customHeight="1">
      <c r="A759" s="172" t="s">
        <v>2487</v>
      </c>
      <c r="B759" s="159" t="s">
        <v>2488</v>
      </c>
    </row>
    <row r="760" ht="15.75" customHeight="1">
      <c r="A760" s="172">
        <v>6.6</v>
      </c>
      <c r="B760" s="159" t="s">
        <v>2489</v>
      </c>
    </row>
    <row r="761" ht="15.75" customHeight="1">
      <c r="A761" s="172">
        <v>6.7</v>
      </c>
      <c r="B761" s="159" t="s">
        <v>2490</v>
      </c>
    </row>
    <row r="762" ht="15.75" customHeight="1">
      <c r="A762" s="172" t="s">
        <v>266</v>
      </c>
      <c r="B762" s="159" t="s">
        <v>2491</v>
      </c>
    </row>
    <row r="763" ht="15.75" customHeight="1">
      <c r="A763" s="172">
        <v>7.1</v>
      </c>
      <c r="B763" s="159" t="s">
        <v>2492</v>
      </c>
    </row>
    <row r="764" ht="15.75" customHeight="1">
      <c r="A764" s="172" t="s">
        <v>855</v>
      </c>
      <c r="B764" s="159" t="s">
        <v>2493</v>
      </c>
    </row>
    <row r="765" ht="15.75" customHeight="1">
      <c r="A765" s="172" t="s">
        <v>862</v>
      </c>
      <c r="B765" s="159" t="s">
        <v>2494</v>
      </c>
    </row>
    <row r="766" ht="15.75" customHeight="1">
      <c r="A766" s="172" t="s">
        <v>680</v>
      </c>
      <c r="B766" s="159" t="s">
        <v>2495</v>
      </c>
    </row>
    <row r="767" ht="15.75" customHeight="1">
      <c r="A767" s="172" t="s">
        <v>2496</v>
      </c>
      <c r="B767" s="159" t="s">
        <v>2497</v>
      </c>
    </row>
    <row r="768" ht="15.75" customHeight="1">
      <c r="A768" s="172">
        <v>7.2</v>
      </c>
      <c r="B768" s="159" t="s">
        <v>2498</v>
      </c>
    </row>
    <row r="769" ht="15.75" customHeight="1">
      <c r="A769" s="172" t="s">
        <v>1189</v>
      </c>
      <c r="B769" s="159" t="s">
        <v>2499</v>
      </c>
    </row>
    <row r="770" ht="15.75" customHeight="1">
      <c r="A770" s="172" t="s">
        <v>870</v>
      </c>
      <c r="B770" s="159" t="s">
        <v>2500</v>
      </c>
    </row>
    <row r="771" ht="15.75" customHeight="1">
      <c r="A771" s="172" t="s">
        <v>1192</v>
      </c>
      <c r="B771" s="159" t="s">
        <v>2501</v>
      </c>
    </row>
    <row r="772" ht="15.75" customHeight="1">
      <c r="A772" s="172">
        <v>7.3</v>
      </c>
      <c r="B772" s="159" t="s">
        <v>2502</v>
      </c>
    </row>
    <row r="773" ht="15.75" customHeight="1">
      <c r="A773" s="172" t="s">
        <v>325</v>
      </c>
      <c r="B773" s="159" t="s">
        <v>2503</v>
      </c>
    </row>
    <row r="774" ht="15.75" customHeight="1">
      <c r="A774" s="172">
        <v>8.1</v>
      </c>
      <c r="B774" s="159" t="s">
        <v>2504</v>
      </c>
    </row>
    <row r="775" ht="15.75" customHeight="1">
      <c r="A775" s="172" t="s">
        <v>1196</v>
      </c>
      <c r="B775" s="159" t="s">
        <v>2505</v>
      </c>
    </row>
    <row r="776" ht="15.75" customHeight="1">
      <c r="A776" s="172" t="s">
        <v>519</v>
      </c>
      <c r="B776" s="159" t="s">
        <v>2506</v>
      </c>
    </row>
    <row r="777" ht="15.75" customHeight="1">
      <c r="A777" s="172" t="s">
        <v>1199</v>
      </c>
      <c r="B777" s="159" t="s">
        <v>2507</v>
      </c>
    </row>
    <row r="778" ht="15.75" customHeight="1">
      <c r="A778" s="172" t="s">
        <v>510</v>
      </c>
      <c r="B778" s="159" t="s">
        <v>2508</v>
      </c>
    </row>
    <row r="779" ht="15.75" customHeight="1">
      <c r="A779" s="172" t="s">
        <v>2509</v>
      </c>
      <c r="B779" s="159" t="s">
        <v>2510</v>
      </c>
    </row>
    <row r="780" ht="15.75" customHeight="1">
      <c r="A780" s="172" t="s">
        <v>2511</v>
      </c>
      <c r="B780" s="159" t="s">
        <v>2512</v>
      </c>
    </row>
    <row r="781" ht="15.75" customHeight="1">
      <c r="A781" s="172" t="s">
        <v>2513</v>
      </c>
      <c r="B781" s="159" t="s">
        <v>2514</v>
      </c>
    </row>
    <row r="782" ht="15.75" customHeight="1">
      <c r="A782" s="172" t="s">
        <v>2515</v>
      </c>
      <c r="B782" s="159" t="s">
        <v>2516</v>
      </c>
    </row>
    <row r="783" ht="15.75" customHeight="1">
      <c r="A783" s="172">
        <v>8.2</v>
      </c>
      <c r="B783" s="159" t="s">
        <v>2517</v>
      </c>
    </row>
    <row r="784" ht="15.75" customHeight="1">
      <c r="A784" s="172" t="s">
        <v>1202</v>
      </c>
      <c r="B784" s="159" t="s">
        <v>2518</v>
      </c>
    </row>
    <row r="785" ht="15.75" customHeight="1">
      <c r="A785" s="172" t="s">
        <v>1204</v>
      </c>
      <c r="B785" s="159" t="s">
        <v>2519</v>
      </c>
    </row>
    <row r="786" ht="15.75" customHeight="1">
      <c r="A786" s="172" t="s">
        <v>751</v>
      </c>
      <c r="B786" s="159" t="s">
        <v>2520</v>
      </c>
    </row>
    <row r="787" ht="15.75" customHeight="1">
      <c r="A787" s="172" t="s">
        <v>2521</v>
      </c>
      <c r="B787" s="159" t="s">
        <v>2522</v>
      </c>
    </row>
    <row r="788" ht="15.75" customHeight="1">
      <c r="A788" s="172" t="s">
        <v>2523</v>
      </c>
      <c r="B788" s="159" t="s">
        <v>2524</v>
      </c>
    </row>
    <row r="789" ht="15.75" customHeight="1">
      <c r="A789" s="172" t="s">
        <v>2525</v>
      </c>
      <c r="B789" s="159" t="s">
        <v>2526</v>
      </c>
    </row>
    <row r="790" ht="15.75" customHeight="1">
      <c r="A790" s="172">
        <v>8.3</v>
      </c>
      <c r="B790" s="159" t="s">
        <v>2527</v>
      </c>
    </row>
    <row r="791" ht="15.75" customHeight="1">
      <c r="A791" s="172" t="s">
        <v>560</v>
      </c>
      <c r="B791" s="159" t="s">
        <v>2528</v>
      </c>
    </row>
    <row r="792" ht="15.75" customHeight="1">
      <c r="A792" s="172" t="s">
        <v>1208</v>
      </c>
      <c r="B792" s="159" t="s">
        <v>2529</v>
      </c>
    </row>
    <row r="793" ht="15.75" customHeight="1">
      <c r="A793" s="172">
        <v>8.4</v>
      </c>
      <c r="B793" s="159" t="s">
        <v>2530</v>
      </c>
    </row>
    <row r="794" ht="15.75" customHeight="1">
      <c r="A794" s="172">
        <v>8.5</v>
      </c>
      <c r="B794" s="159" t="s">
        <v>2531</v>
      </c>
    </row>
    <row r="795" ht="15.75" customHeight="1">
      <c r="A795" s="172" t="s">
        <v>2532</v>
      </c>
      <c r="B795" s="159" t="s">
        <v>2533</v>
      </c>
    </row>
    <row r="796" ht="15.75" customHeight="1">
      <c r="A796" s="172">
        <v>8.6</v>
      </c>
      <c r="B796" s="159" t="s">
        <v>2534</v>
      </c>
    </row>
    <row r="797" ht="15.75" customHeight="1">
      <c r="A797" s="172">
        <v>8.7</v>
      </c>
      <c r="B797" s="159" t="s">
        <v>2535</v>
      </c>
    </row>
    <row r="798" ht="15.75" customHeight="1">
      <c r="A798" s="172">
        <v>8.8</v>
      </c>
      <c r="B798" s="159" t="s">
        <v>2536</v>
      </c>
    </row>
    <row r="799" ht="15.75" customHeight="1">
      <c r="A799" s="172" t="s">
        <v>532</v>
      </c>
      <c r="B799" s="159" t="s">
        <v>2537</v>
      </c>
    </row>
    <row r="800" ht="15.75" customHeight="1">
      <c r="A800" s="172">
        <v>9.1</v>
      </c>
      <c r="B800" s="159" t="s">
        <v>2538</v>
      </c>
    </row>
    <row r="801" ht="15.75" customHeight="1">
      <c r="A801" s="172" t="s">
        <v>268</v>
      </c>
      <c r="B801" s="159" t="s">
        <v>2539</v>
      </c>
    </row>
    <row r="802" ht="15.75" customHeight="1">
      <c r="A802" s="172" t="s">
        <v>225</v>
      </c>
      <c r="B802" s="159" t="s">
        <v>2540</v>
      </c>
    </row>
    <row r="803" ht="15.75" customHeight="1">
      <c r="A803" s="172" t="s">
        <v>2541</v>
      </c>
      <c r="B803" s="159" t="s">
        <v>2542</v>
      </c>
    </row>
    <row r="804" ht="15.75" customHeight="1">
      <c r="A804" s="172">
        <v>9.2</v>
      </c>
      <c r="B804" s="159" t="s">
        <v>2543</v>
      </c>
    </row>
    <row r="805" ht="15.75" customHeight="1">
      <c r="A805" s="172">
        <v>9.3</v>
      </c>
      <c r="B805" s="159" t="s">
        <v>2544</v>
      </c>
    </row>
    <row r="806" ht="15.75" customHeight="1">
      <c r="A806" s="172">
        <v>9.4</v>
      </c>
      <c r="B806" s="159" t="s">
        <v>2545</v>
      </c>
    </row>
    <row r="807" ht="15.75" customHeight="1">
      <c r="A807" s="172" t="s">
        <v>1225</v>
      </c>
      <c r="B807" s="159" t="s">
        <v>2546</v>
      </c>
    </row>
    <row r="808" ht="15.75" customHeight="1">
      <c r="A808" s="172" t="s">
        <v>759</v>
      </c>
      <c r="B808" s="159" t="s">
        <v>2547</v>
      </c>
    </row>
    <row r="809" ht="15.75" customHeight="1">
      <c r="A809" s="172" t="s">
        <v>347</v>
      </c>
      <c r="B809" s="159" t="s">
        <v>2548</v>
      </c>
    </row>
    <row r="810" ht="15.75" customHeight="1">
      <c r="A810" s="172" t="s">
        <v>1229</v>
      </c>
      <c r="B810" s="159" t="s">
        <v>2549</v>
      </c>
    </row>
    <row r="811" ht="15.75" customHeight="1">
      <c r="A811" s="172">
        <v>9.5</v>
      </c>
      <c r="B811" s="159" t="s">
        <v>2550</v>
      </c>
    </row>
    <row r="812" ht="15.75" customHeight="1">
      <c r="A812" s="172" t="s">
        <v>2551</v>
      </c>
      <c r="B812" s="159" t="s">
        <v>2552</v>
      </c>
    </row>
    <row r="813" ht="15.75" customHeight="1">
      <c r="A813" s="172">
        <v>9.6</v>
      </c>
      <c r="B813" s="159" t="s">
        <v>2553</v>
      </c>
    </row>
    <row r="814" ht="15.75" customHeight="1">
      <c r="A814" s="172" t="s">
        <v>2554</v>
      </c>
      <c r="B814" s="159" t="s">
        <v>2555</v>
      </c>
    </row>
    <row r="815" ht="15.75" customHeight="1">
      <c r="A815" s="172" t="s">
        <v>2556</v>
      </c>
      <c r="B815" s="159" t="s">
        <v>2557</v>
      </c>
    </row>
    <row r="816" ht="15.75" customHeight="1">
      <c r="A816" s="172" t="s">
        <v>2558</v>
      </c>
      <c r="B816" s="159" t="s">
        <v>2559</v>
      </c>
    </row>
    <row r="817" ht="15.75" customHeight="1">
      <c r="A817" s="172">
        <v>9.7</v>
      </c>
      <c r="B817" s="159" t="s">
        <v>2560</v>
      </c>
    </row>
    <row r="818" ht="15.75" customHeight="1">
      <c r="A818" s="172" t="s">
        <v>2561</v>
      </c>
      <c r="B818" s="159" t="s">
        <v>2562</v>
      </c>
    </row>
    <row r="819" ht="15.75" customHeight="1">
      <c r="A819" s="172">
        <v>9.8</v>
      </c>
      <c r="B819" s="159" t="s">
        <v>2563</v>
      </c>
    </row>
    <row r="820" ht="15.75" customHeight="1">
      <c r="A820" s="172" t="s">
        <v>2564</v>
      </c>
      <c r="B820" s="159" t="s">
        <v>2565</v>
      </c>
    </row>
    <row r="821" ht="15.75" customHeight="1">
      <c r="A821" s="172" t="s">
        <v>2566</v>
      </c>
      <c r="B821" s="159" t="s">
        <v>2567</v>
      </c>
    </row>
    <row r="822" ht="15.75" customHeight="1">
      <c r="A822" s="172">
        <v>9.9</v>
      </c>
      <c r="B822" s="159" t="s">
        <v>2568</v>
      </c>
    </row>
    <row r="823" ht="15.75" customHeight="1">
      <c r="A823" s="172" t="s">
        <v>2569</v>
      </c>
      <c r="B823" s="159" t="s">
        <v>2571</v>
      </c>
    </row>
    <row r="824" ht="15.75" customHeight="1">
      <c r="A824" s="172" t="s">
        <v>2572</v>
      </c>
      <c r="B824" s="159" t="s">
        <v>2573</v>
      </c>
    </row>
    <row r="825" ht="15.75" customHeight="1">
      <c r="A825" s="172" t="s">
        <v>2574</v>
      </c>
      <c r="B825" s="159" t="s">
        <v>2575</v>
      </c>
    </row>
    <row r="826" ht="15.75" customHeight="1">
      <c r="A826" s="172" t="s">
        <v>2576</v>
      </c>
      <c r="B826" s="159" t="s">
        <v>2577</v>
      </c>
    </row>
    <row r="827" ht="15.75" customHeight="1">
      <c r="A827" s="172" t="s">
        <v>2578</v>
      </c>
      <c r="B827" s="159" t="s">
        <v>2579</v>
      </c>
    </row>
    <row r="828" ht="15.75" customHeight="1">
      <c r="A828" s="172">
        <v>10.1</v>
      </c>
      <c r="B828" s="159" t="s">
        <v>2580</v>
      </c>
    </row>
    <row r="829" ht="15.75" customHeight="1">
      <c r="A829" s="172">
        <v>10.2</v>
      </c>
      <c r="B829" s="159" t="s">
        <v>2581</v>
      </c>
    </row>
    <row r="830" ht="15.75" customHeight="1">
      <c r="A830" s="172" t="s">
        <v>2582</v>
      </c>
      <c r="B830" s="159" t="s">
        <v>2583</v>
      </c>
    </row>
    <row r="831" ht="15.75" customHeight="1">
      <c r="A831" s="172" t="s">
        <v>2584</v>
      </c>
      <c r="B831" s="159" t="s">
        <v>2585</v>
      </c>
    </row>
    <row r="832" ht="15.75" customHeight="1">
      <c r="A832" s="172" t="s">
        <v>2586</v>
      </c>
      <c r="B832" s="159" t="s">
        <v>2587</v>
      </c>
    </row>
    <row r="833" ht="15.75" customHeight="1">
      <c r="A833" s="172" t="s">
        <v>2588</v>
      </c>
      <c r="B833" s="159" t="s">
        <v>2589</v>
      </c>
    </row>
    <row r="834" ht="15.75" customHeight="1">
      <c r="A834" s="172" t="s">
        <v>2590</v>
      </c>
      <c r="B834" s="159" t="s">
        <v>2591</v>
      </c>
    </row>
    <row r="835" ht="15.75" customHeight="1">
      <c r="A835" s="172" t="s">
        <v>2592</v>
      </c>
      <c r="B835" s="159" t="s">
        <v>2593</v>
      </c>
    </row>
    <row r="836" ht="15.75" customHeight="1">
      <c r="A836" s="172" t="s">
        <v>2594</v>
      </c>
      <c r="B836" s="159" t="s">
        <v>2595</v>
      </c>
    </row>
    <row r="837" ht="15.75" customHeight="1">
      <c r="A837" s="172">
        <v>10.3</v>
      </c>
      <c r="B837" s="159" t="s">
        <v>2596</v>
      </c>
    </row>
    <row r="838" ht="15.75" customHeight="1">
      <c r="A838" s="172" t="s">
        <v>2597</v>
      </c>
      <c r="B838" s="159" t="s">
        <v>2598</v>
      </c>
    </row>
    <row r="839" ht="15.75" customHeight="1">
      <c r="A839" s="172" t="s">
        <v>2599</v>
      </c>
      <c r="B839" s="159" t="s">
        <v>2600</v>
      </c>
    </row>
    <row r="840" ht="15.75" customHeight="1">
      <c r="A840" s="172" t="s">
        <v>2601</v>
      </c>
      <c r="B840" s="159" t="s">
        <v>2602</v>
      </c>
    </row>
    <row r="841" ht="15.75" customHeight="1">
      <c r="A841" s="172" t="s">
        <v>2603</v>
      </c>
      <c r="B841" s="159" t="s">
        <v>2604</v>
      </c>
    </row>
    <row r="842" ht="15.75" customHeight="1">
      <c r="A842" s="172" t="s">
        <v>2605</v>
      </c>
      <c r="B842" s="159" t="s">
        <v>2606</v>
      </c>
    </row>
    <row r="843" ht="15.75" customHeight="1">
      <c r="A843" s="172" t="s">
        <v>2607</v>
      </c>
      <c r="B843" s="159" t="s">
        <v>2608</v>
      </c>
    </row>
    <row r="844" ht="15.75" customHeight="1">
      <c r="A844" s="172">
        <v>10.4</v>
      </c>
      <c r="B844" s="159" t="s">
        <v>2609</v>
      </c>
    </row>
    <row r="845" ht="15.75" customHeight="1">
      <c r="A845" s="172" t="s">
        <v>2610</v>
      </c>
      <c r="B845" s="159" t="s">
        <v>2611</v>
      </c>
    </row>
    <row r="846" ht="15.75" customHeight="1">
      <c r="A846" s="172" t="s">
        <v>2612</v>
      </c>
      <c r="B846" s="159" t="s">
        <v>2613</v>
      </c>
    </row>
    <row r="847" ht="15.75" customHeight="1">
      <c r="A847" s="172" t="s">
        <v>2614</v>
      </c>
      <c r="B847" s="159" t="s">
        <v>2615</v>
      </c>
    </row>
    <row r="848" ht="15.75" customHeight="1">
      <c r="A848" s="172">
        <v>10.5</v>
      </c>
      <c r="B848" s="159" t="s">
        <v>2616</v>
      </c>
    </row>
    <row r="849" ht="15.75" customHeight="1">
      <c r="A849" s="172" t="s">
        <v>2617</v>
      </c>
      <c r="B849" s="159" t="s">
        <v>2618</v>
      </c>
    </row>
    <row r="850" ht="15.75" customHeight="1">
      <c r="A850" s="172" t="s">
        <v>2619</v>
      </c>
      <c r="B850" s="159" t="s">
        <v>2620</v>
      </c>
    </row>
    <row r="851" ht="15.75" customHeight="1">
      <c r="A851" s="172" t="s">
        <v>2621</v>
      </c>
      <c r="B851" s="159" t="s">
        <v>2622</v>
      </c>
    </row>
    <row r="852" ht="15.75" customHeight="1">
      <c r="A852" s="172" t="s">
        <v>2623</v>
      </c>
      <c r="B852" s="159" t="s">
        <v>2624</v>
      </c>
    </row>
    <row r="853" ht="15.75" customHeight="1">
      <c r="A853" s="172" t="s">
        <v>2625</v>
      </c>
      <c r="B853" s="159" t="s">
        <v>2626</v>
      </c>
    </row>
    <row r="854" ht="15.75" customHeight="1">
      <c r="A854" s="172">
        <v>10.6</v>
      </c>
      <c r="B854" s="159" t="s">
        <v>2627</v>
      </c>
    </row>
    <row r="855" ht="15.75" customHeight="1">
      <c r="A855" s="172" t="s">
        <v>2629</v>
      </c>
      <c r="B855" s="159" t="s">
        <v>2630</v>
      </c>
    </row>
    <row r="856" ht="15.75" customHeight="1">
      <c r="A856" s="172" t="s">
        <v>2631</v>
      </c>
      <c r="B856" s="159" t="s">
        <v>2632</v>
      </c>
    </row>
    <row r="857" ht="15.75" customHeight="1">
      <c r="A857" s="172" t="s">
        <v>2633</v>
      </c>
      <c r="B857" s="159" t="s">
        <v>2634</v>
      </c>
    </row>
    <row r="858" ht="15.75" customHeight="1">
      <c r="A858" s="172">
        <v>10.7</v>
      </c>
      <c r="B858" s="159" t="s">
        <v>2635</v>
      </c>
    </row>
    <row r="859" ht="15.75" customHeight="1">
      <c r="A859" s="172">
        <v>10.8</v>
      </c>
      <c r="B859" s="159" t="s">
        <v>2636</v>
      </c>
    </row>
    <row r="860" ht="15.75" customHeight="1">
      <c r="A860" s="172" t="s">
        <v>2637</v>
      </c>
      <c r="B860" s="159" t="s">
        <v>2638</v>
      </c>
    </row>
    <row r="861" ht="15.75" customHeight="1">
      <c r="A861" s="172">
        <v>10.9</v>
      </c>
      <c r="B861" s="159" t="s">
        <v>2639</v>
      </c>
    </row>
    <row r="862" ht="15.75" customHeight="1">
      <c r="A862" s="172" t="s">
        <v>2640</v>
      </c>
      <c r="B862" s="159" t="s">
        <v>2641</v>
      </c>
    </row>
    <row r="863" ht="15.75" customHeight="1">
      <c r="A863" s="172">
        <v>11.1</v>
      </c>
      <c r="B863" s="159" t="s">
        <v>2642</v>
      </c>
    </row>
    <row r="864" ht="15.75" customHeight="1">
      <c r="A864" s="172" t="s">
        <v>599</v>
      </c>
      <c r="B864" s="159" t="s">
        <v>2643</v>
      </c>
    </row>
    <row r="865" ht="15.75" customHeight="1">
      <c r="A865" s="172" t="s">
        <v>795</v>
      </c>
      <c r="B865" s="159" t="s">
        <v>2644</v>
      </c>
    </row>
    <row r="866" ht="15.75" customHeight="1">
      <c r="A866" s="172">
        <v>11.2</v>
      </c>
      <c r="B866" s="159" t="s">
        <v>2645</v>
      </c>
    </row>
    <row r="867" ht="15.75" customHeight="1">
      <c r="A867" s="172" t="s">
        <v>628</v>
      </c>
      <c r="B867" s="159" t="s">
        <v>2646</v>
      </c>
    </row>
    <row r="868" ht="15.75" customHeight="1">
      <c r="A868" s="172" t="s">
        <v>1245</v>
      </c>
      <c r="B868" s="159" t="s">
        <v>2647</v>
      </c>
    </row>
    <row r="869" ht="15.75" customHeight="1">
      <c r="A869" s="172" t="s">
        <v>1247</v>
      </c>
      <c r="B869" s="159" t="s">
        <v>2648</v>
      </c>
    </row>
    <row r="870" ht="15.75" customHeight="1">
      <c r="A870" s="172">
        <v>11.3</v>
      </c>
      <c r="B870" s="159" t="s">
        <v>2649</v>
      </c>
    </row>
    <row r="871" ht="15.75" customHeight="1">
      <c r="A871" s="172" t="s">
        <v>2650</v>
      </c>
      <c r="B871" s="159" t="s">
        <v>2651</v>
      </c>
    </row>
    <row r="872" ht="15.75" customHeight="1">
      <c r="A872" s="172" t="s">
        <v>2652</v>
      </c>
      <c r="B872" s="159" t="s">
        <v>2653</v>
      </c>
    </row>
    <row r="873" ht="15.75" customHeight="1">
      <c r="A873" s="172" t="s">
        <v>2654</v>
      </c>
      <c r="B873" s="159" t="s">
        <v>2655</v>
      </c>
    </row>
    <row r="874" ht="15.75" customHeight="1">
      <c r="A874" s="172" t="s">
        <v>2656</v>
      </c>
      <c r="B874" s="159" t="s">
        <v>2657</v>
      </c>
    </row>
    <row r="875" ht="15.75" customHeight="1">
      <c r="A875" s="172" t="s">
        <v>2658</v>
      </c>
      <c r="B875" s="159" t="s">
        <v>2659</v>
      </c>
    </row>
    <row r="876" ht="15.75" customHeight="1">
      <c r="A876" s="172">
        <v>11.4</v>
      </c>
      <c r="B876" s="159" t="s">
        <v>2660</v>
      </c>
    </row>
    <row r="877" ht="15.75" customHeight="1">
      <c r="A877" s="172">
        <v>11.5</v>
      </c>
      <c r="B877" s="159" t="s">
        <v>2661</v>
      </c>
    </row>
    <row r="878" ht="15.75" customHeight="1">
      <c r="A878" s="172" t="s">
        <v>2662</v>
      </c>
      <c r="B878" s="159" t="s">
        <v>2663</v>
      </c>
    </row>
    <row r="879" ht="15.75" customHeight="1">
      <c r="A879" s="172">
        <v>11.6</v>
      </c>
      <c r="B879" s="159" t="s">
        <v>2664</v>
      </c>
    </row>
    <row r="880" ht="15.75" customHeight="1">
      <c r="A880" s="172" t="s">
        <v>298</v>
      </c>
      <c r="B880" s="159" t="s">
        <v>2665</v>
      </c>
    </row>
    <row r="881" ht="15.75" customHeight="1">
      <c r="A881" s="172">
        <v>12.1</v>
      </c>
      <c r="B881" s="159" t="s">
        <v>2666</v>
      </c>
    </row>
    <row r="882" ht="15.75" customHeight="1">
      <c r="A882" s="172" t="s">
        <v>287</v>
      </c>
      <c r="B882" s="159" t="s">
        <v>2667</v>
      </c>
    </row>
    <row r="883" ht="15.75" customHeight="1">
      <c r="A883" s="172">
        <v>12.2</v>
      </c>
      <c r="B883" s="159" t="s">
        <v>2668</v>
      </c>
    </row>
    <row r="884" ht="15.75" customHeight="1">
      <c r="A884" s="172">
        <v>12.3</v>
      </c>
      <c r="B884" s="159" t="s">
        <v>2669</v>
      </c>
    </row>
    <row r="885" ht="15.75" customHeight="1">
      <c r="A885" s="172" t="s">
        <v>516</v>
      </c>
      <c r="B885" s="159" t="s">
        <v>2670</v>
      </c>
    </row>
    <row r="886" ht="15.75" customHeight="1">
      <c r="A886" s="172" t="s">
        <v>2671</v>
      </c>
      <c r="B886" s="159" t="s">
        <v>2672</v>
      </c>
    </row>
    <row r="887" ht="15.75" customHeight="1">
      <c r="A887" s="172" t="s">
        <v>2673</v>
      </c>
      <c r="B887" s="159" t="s">
        <v>2674</v>
      </c>
    </row>
    <row r="888" ht="15.75" customHeight="1">
      <c r="A888" s="172" t="s">
        <v>2675</v>
      </c>
      <c r="B888" s="159" t="s">
        <v>2676</v>
      </c>
    </row>
    <row r="889" ht="15.75" customHeight="1">
      <c r="A889" s="172" t="s">
        <v>2677</v>
      </c>
      <c r="B889" s="159" t="s">
        <v>2678</v>
      </c>
    </row>
    <row r="890" ht="15.75" customHeight="1">
      <c r="A890" s="172" t="s">
        <v>2679</v>
      </c>
      <c r="B890" s="159" t="s">
        <v>2680</v>
      </c>
    </row>
    <row r="891" ht="15.75" customHeight="1">
      <c r="A891" s="172" t="s">
        <v>2681</v>
      </c>
      <c r="B891" s="159" t="s">
        <v>2682</v>
      </c>
    </row>
    <row r="892" ht="15.75" customHeight="1">
      <c r="A892" s="172" t="s">
        <v>2683</v>
      </c>
      <c r="B892" s="159" t="s">
        <v>2684</v>
      </c>
    </row>
    <row r="893" ht="15.75" customHeight="1">
      <c r="A893" s="172" t="s">
        <v>2685</v>
      </c>
      <c r="B893" s="159" t="s">
        <v>2686</v>
      </c>
    </row>
    <row r="894" ht="15.75" customHeight="1">
      <c r="A894" s="172" t="s">
        <v>2687</v>
      </c>
      <c r="B894" s="159" t="s">
        <v>2688</v>
      </c>
    </row>
    <row r="895" ht="15.75" customHeight="1">
      <c r="A895" s="172">
        <v>12.4</v>
      </c>
      <c r="B895" s="159" t="s">
        <v>2689</v>
      </c>
    </row>
    <row r="896" ht="15.75" customHeight="1">
      <c r="A896" s="172" t="s">
        <v>716</v>
      </c>
      <c r="B896" s="159" t="s">
        <v>2690</v>
      </c>
    </row>
    <row r="897" ht="15.75" customHeight="1">
      <c r="A897" s="172">
        <v>12.5</v>
      </c>
      <c r="B897" s="159" t="s">
        <v>2691</v>
      </c>
    </row>
    <row r="898" ht="15.75" customHeight="1">
      <c r="A898" s="172" t="s">
        <v>280</v>
      </c>
      <c r="B898" s="159" t="s">
        <v>2692</v>
      </c>
    </row>
    <row r="899" ht="15.75" customHeight="1">
      <c r="A899" s="172" t="s">
        <v>2693</v>
      </c>
      <c r="B899" s="159" t="s">
        <v>2694</v>
      </c>
    </row>
    <row r="900" ht="15.75" customHeight="1">
      <c r="A900" s="172" t="s">
        <v>2695</v>
      </c>
      <c r="B900" s="159" t="s">
        <v>2696</v>
      </c>
    </row>
    <row r="901" ht="15.75" customHeight="1">
      <c r="A901" s="172" t="s">
        <v>2697</v>
      </c>
      <c r="B901" s="159" t="s">
        <v>2698</v>
      </c>
    </row>
    <row r="902" ht="15.75" customHeight="1">
      <c r="A902" s="172" t="s">
        <v>2699</v>
      </c>
      <c r="B902" s="159" t="s">
        <v>2700</v>
      </c>
    </row>
    <row r="903" ht="15.75" customHeight="1">
      <c r="A903" s="172">
        <v>12.6</v>
      </c>
      <c r="B903" s="159" t="s">
        <v>2701</v>
      </c>
    </row>
    <row r="904" ht="15.75" customHeight="1">
      <c r="A904" s="172" t="s">
        <v>461</v>
      </c>
      <c r="B904" s="159" t="s">
        <v>2702</v>
      </c>
    </row>
    <row r="905" ht="15.75" customHeight="1">
      <c r="A905" s="172" t="s">
        <v>1277</v>
      </c>
      <c r="B905" s="159" t="s">
        <v>2703</v>
      </c>
    </row>
    <row r="906" ht="15.75" customHeight="1">
      <c r="A906" s="172">
        <v>12.7</v>
      </c>
      <c r="B906" s="159" t="s">
        <v>2704</v>
      </c>
    </row>
    <row r="907" ht="15.75" customHeight="1">
      <c r="A907" s="172">
        <v>12.8</v>
      </c>
      <c r="B907" s="159" t="s">
        <v>2705</v>
      </c>
    </row>
    <row r="908" ht="15.75" customHeight="1">
      <c r="A908" s="172" t="s">
        <v>2706</v>
      </c>
      <c r="B908" s="159" t="s">
        <v>2707</v>
      </c>
    </row>
    <row r="909" ht="15.75" customHeight="1">
      <c r="A909" s="172" t="s">
        <v>2708</v>
      </c>
      <c r="B909" s="159" t="s">
        <v>2709</v>
      </c>
    </row>
    <row r="910" ht="15.75" customHeight="1">
      <c r="A910" s="172" t="s">
        <v>2710</v>
      </c>
      <c r="B910" s="159" t="s">
        <v>2711</v>
      </c>
    </row>
    <row r="911" ht="15.75" customHeight="1">
      <c r="A911" s="172" t="s">
        <v>2712</v>
      </c>
      <c r="B911" s="159" t="s">
        <v>2713</v>
      </c>
    </row>
    <row r="912" ht="15.75" customHeight="1">
      <c r="A912" s="172" t="s">
        <v>2714</v>
      </c>
      <c r="B912" s="159" t="s">
        <v>2715</v>
      </c>
    </row>
    <row r="913" ht="15.75" customHeight="1">
      <c r="A913" s="172">
        <v>12.9</v>
      </c>
      <c r="B913" s="159" t="s">
        <v>2716</v>
      </c>
    </row>
    <row r="914" ht="15.75" customHeight="1">
      <c r="A914" s="172" t="s">
        <v>2717</v>
      </c>
      <c r="B914" s="159" t="s">
        <v>2718</v>
      </c>
    </row>
    <row r="915" ht="15.75" customHeight="1">
      <c r="A915" s="172" t="s">
        <v>2719</v>
      </c>
      <c r="B915" s="159" t="s">
        <v>2720</v>
      </c>
    </row>
    <row r="916" ht="15.75" customHeight="1">
      <c r="A916" s="172" t="s">
        <v>2721</v>
      </c>
      <c r="B916" s="159" t="s">
        <v>2722</v>
      </c>
    </row>
    <row r="917" ht="15.75" customHeight="1">
      <c r="A917" s="172" t="s">
        <v>2723</v>
      </c>
      <c r="B917" s="159" t="s">
        <v>2724</v>
      </c>
    </row>
    <row r="918" ht="15.75" customHeight="1">
      <c r="A918" s="172" t="s">
        <v>2725</v>
      </c>
      <c r="B918" s="159" t="s">
        <v>2726</v>
      </c>
    </row>
    <row r="919" ht="15.75" customHeight="1">
      <c r="A919" s="172" t="s">
        <v>2727</v>
      </c>
      <c r="B919" s="159" t="s">
        <v>2728</v>
      </c>
    </row>
    <row r="920" ht="15.75" customHeight="1">
      <c r="A920" s="172" t="s">
        <v>2729</v>
      </c>
      <c r="B920" s="159" t="s">
        <v>2730</v>
      </c>
    </row>
    <row r="921" ht="15.75" customHeight="1">
      <c r="A921" s="172">
        <v>12.11</v>
      </c>
      <c r="B921" s="159" t="s">
        <v>2731</v>
      </c>
    </row>
    <row r="922" ht="15.75" customHeight="1">
      <c r="A922" s="172" t="s">
        <v>2732</v>
      </c>
      <c r="B922" s="159" t="s">
        <v>2733</v>
      </c>
    </row>
    <row r="923" ht="15.75" customHeight="1">
      <c r="A923" s="32" t="s">
        <v>184</v>
      </c>
      <c r="B923" s="159" t="s">
        <v>2734</v>
      </c>
    </row>
    <row r="924" ht="15.75" customHeight="1">
      <c r="A924" s="159" t="s">
        <v>163</v>
      </c>
      <c r="B924" s="159" t="s">
        <v>2735</v>
      </c>
    </row>
    <row r="925" ht="15.75" customHeight="1">
      <c r="A925" s="159" t="s">
        <v>181</v>
      </c>
      <c r="B925" s="159" t="str">
        <f>CONCATENATE(B923,"; ",B924)</f>
        <v>All system components included in or connected to the cardholder data environment (CDE); The process of determining the CDE and subsequent PCI scope</v>
      </c>
    </row>
    <row r="926" ht="15.75" customHeight="1">
      <c r="A926" s="159" t="s">
        <v>306</v>
      </c>
      <c r="B926" s="159" t="str">
        <f>B923</f>
        <v>All system components included in or connected to the cardholder data environment (CDE)</v>
      </c>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ht="15.75" customHeight="1">
      <c r="A927" s="164" t="s">
        <v>193</v>
      </c>
      <c r="B927" s="159" t="str">
        <f>CONCATENATE(B914,"; ",B923)</f>
        <v>Implement an incident response plan. Be prepared to respond immediately to a system breach.; All system components included in or connected to the cardholder data environment (CDE)</v>
      </c>
    </row>
    <row r="928" ht="15.75" customHeight="1">
      <c r="A928" s="201" t="s">
        <v>203</v>
      </c>
      <c r="B928" s="159" t="str">
        <f>CONCATENATE(B907,"; ",B897)</f>
        <v>Maintain and implement policies and procedures to manage service providers, with whom cardholder data is shared, or that could affect the security of cardholder data, as follows; Assign to an individual or team the following information security management responsibilities:</v>
      </c>
    </row>
    <row r="929" ht="15.75" customHeight="1">
      <c r="A929" s="159" t="s">
        <v>2737</v>
      </c>
      <c r="B929" s="159" t="str">
        <f>CONCATENATE(B907,"; ",B723)</f>
        <v>Maintain and implement policies and procedures to manage service providers, with whom cardholder data is shared, or that could affect the security of cardholder data, as follows; Never send unprotected PANs by end-user messaging technologies (for example, e-mail, instant messaging, SMS, chat, etc.).</v>
      </c>
    </row>
    <row r="930" ht="15.75" customHeight="1">
      <c r="A930" s="201" t="s">
        <v>304</v>
      </c>
      <c r="B930" s="159" t="str">
        <f>CONCATENATE(B762,"; ",B773)</f>
        <v>Restrict access to cardholder data by business need to know; Assign a unique ID to each person with computer access</v>
      </c>
    </row>
    <row r="931" ht="15.75" customHeight="1">
      <c r="A931" s="164" t="s">
        <v>331</v>
      </c>
      <c r="B931" s="159" t="str">
        <f>CONCATENATE(B684,"; ",B773)</f>
        <v>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 Assign a unique ID to each person with computer access</v>
      </c>
    </row>
    <row r="932" ht="15.75" customHeight="1">
      <c r="A932" s="164" t="s">
        <v>2738</v>
      </c>
      <c r="B932" s="159" t="str">
        <f>CONCATENATE(B773,"; ",B723)</f>
        <v>Assign a unique ID to each person with computer access; Never send unprotected PANs by end-user messaging technologies (for example, e-mail, instant messaging, SMS, chat, etc.).</v>
      </c>
    </row>
    <row r="933" ht="15.75" customHeight="1">
      <c r="A933" s="164" t="s">
        <v>366</v>
      </c>
      <c r="B933" s="159" t="str">
        <f>CONCATENATE(B828,"; ",B837,"; ",B848,"; ",B854,"; ",B858)</f>
        <v>Implement audit trails to link all access to system components to each individual user.; Record at least the following audit trail entries for all system components for each event:; Secure audit trails so they cannot be altered.; Review logs and security events for all system components to identify anomalies or suspicious activity. Note: Log harvesting, parsing, and alerting tools may be used to meet this Requirement.; Retain audit trail history for at least one year, with a minimum of three months immediately available for analysis (for example, online, archived, or restorable from backup).</v>
      </c>
    </row>
    <row r="934" ht="15.75" customHeight="1">
      <c r="A934" s="164" t="s">
        <v>428</v>
      </c>
      <c r="B934" s="159" t="str">
        <f>CONCATENATE(B738,"; ",B749,"; ",B750,"; ",B751)</f>
        <v>Follow change control processes and procedures for all changes to system components. The processes must include the following:;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 Injection flaws, particularly SQL injection. Also consider OS Command Injection, LDAP and XPath injection flaws as well as other injection flaws.; Buffer overflows</v>
      </c>
    </row>
    <row r="935" ht="15.75" customHeight="1">
      <c r="A935" s="164" t="s">
        <v>436</v>
      </c>
      <c r="B935" s="159" t="str">
        <f>CONCATENATE(B738,"; ",B907,"; ",B913)</f>
        <v>Follow change control processes and procedures for all changes to system components. The processes must include the following:;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36" ht="15.75" customHeight="1">
      <c r="A936" s="164" t="s">
        <v>442</v>
      </c>
      <c r="B936" s="159" t="str">
        <f>CONCATENATE(B881,"; ",B907)</f>
        <v>Establish, publish, maintain, and disseminate a security policy.; Maintain and implement policies and procedures to manage service providers, with whom cardholder data is shared, or that could affect the security of cardholder data, as follows</v>
      </c>
    </row>
    <row r="937" ht="15.75" customHeight="1">
      <c r="A937" s="164" t="s">
        <v>462</v>
      </c>
      <c r="B937" s="159" t="str">
        <f>CONCATENATE(B881,"; ",B907,"; ",B734)</f>
        <v>Establish, publish, maintain, and disseminate a security policy.; Maintain and implement policies and procedures to manage service providers, with whom cardholder data is shared, or that could affect the security of cardholder data, as follows; 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v>
      </c>
    </row>
    <row r="938" ht="15.75" customHeight="1">
      <c r="A938" s="202" t="s">
        <v>466</v>
      </c>
      <c r="B938" s="159" t="str">
        <f>CONCATENATE(B882,"; ",B907)</f>
        <v>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39" ht="15.75" customHeight="1">
      <c r="A939" s="203" t="s">
        <v>471</v>
      </c>
      <c r="B939" s="159" t="str">
        <f>CONCATENATE(B881,"; ",B882,"; ",B907)</f>
        <v>Establish, publish, maintain, and disseminate a security policy.; 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40" ht="15.75" customHeight="1">
      <c r="A940" s="203" t="s">
        <v>474</v>
      </c>
      <c r="B940" s="159" t="str">
        <f>CONCATENATE(B914,"; ",B907,"; ",B738)</f>
        <v>Implement an incident response plan. Be prepared to respond immediately to a system breach.; Maintain and implement policies and procedures to manage service providers, with whom cardholder data is shared, or that could affect the security of cardholder data, as follows; Follow change control processes and procedures for all changes to system components. The processes must include the following:</v>
      </c>
    </row>
    <row r="941" ht="15.75" customHeight="1">
      <c r="A941" s="202" t="s">
        <v>485</v>
      </c>
      <c r="B941" s="159" t="str">
        <f>CONCATENATE(B910,"; ",B799)</f>
        <v>Ensure there is an established process for engaging service providers including proper due diligence prior to engagement.; Restrict physical access to cardholder data</v>
      </c>
    </row>
    <row r="942" ht="15.75" customHeight="1">
      <c r="A942" s="203" t="s">
        <v>490</v>
      </c>
      <c r="B942" s="159" t="str">
        <f>CONCATENATE(B910,"; ",B721)</f>
        <v>Ensure there is an established process for engaging service providers including proper due diligence prior to engagement.; 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v>
      </c>
    </row>
    <row r="943" ht="15.75" customHeight="1">
      <c r="A943" s="202" t="s">
        <v>723</v>
      </c>
      <c r="B943" s="159" t="str">
        <f>CONCATENATE(B876,"; ",B907)</f>
        <v>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 Maintain and implement policies and procedures to manage service providers, with whom cardholder data is shared, or that could affect the security of cardholder data, as follows</v>
      </c>
    </row>
    <row r="944" ht="15.75" customHeight="1">
      <c r="A944" s="203" t="s">
        <v>730</v>
      </c>
      <c r="B944" s="159" t="str">
        <f>CONCATENATE(B661,"; ",B859,"; ",B854,"; ",B837,"; ",B829,"; ",B876)</f>
        <v>Establish and implement firewall and router configuration standards that include the following:; 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 Review logs and security events for all system components to identify anomalies or suspicious activity. Note: Log harvesting, parsing, and alerting tools may be used to meet this Requirement.; Record at least the following audit trail entries for all system components for each event:; Implement automated audit trails for all system components to reconstruct the following events:; 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v>
      </c>
    </row>
    <row r="945" ht="15.75" customHeight="1">
      <c r="A945" s="164" t="s">
        <v>782</v>
      </c>
      <c r="B945" s="159" t="str">
        <f>CONCATENATE(B881,"; ",B799)</f>
        <v>Establish, publish, maintain, and disseminate a security policy.; Restrict physical access to cardholder data</v>
      </c>
    </row>
    <row r="946" ht="15.75" customHeight="1">
      <c r="A946" s="164" t="s">
        <v>803</v>
      </c>
      <c r="B946" s="159" t="str">
        <f>CONCATENATE(B895,"; ",B897)</f>
        <v>Ensure that the security policy and procedures clearly define information security responsibilities for all personnel.; Assign to an individual or team the following information security management responsibilities:</v>
      </c>
    </row>
    <row r="947" ht="15.75" customHeight="1">
      <c r="A947" s="164" t="s">
        <v>816</v>
      </c>
      <c r="B947" s="159" t="str">
        <f>CONCATENATE(B903,"; ",B749)</f>
        <v>Implement a formal security awareness program to make all personnel aware of the cardholder data security policy and procedures.;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v>
      </c>
    </row>
    <row r="948" ht="15.75" customHeight="1">
      <c r="A948" s="202" t="s">
        <v>828</v>
      </c>
      <c r="B948" s="159" t="str">
        <f>CONCATENATE(B737,"; ",B746)</f>
        <v>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 Functionality testing to verify that the change does not adversely impact the security of the system.</v>
      </c>
    </row>
    <row r="949" ht="15.75" customHeight="1">
      <c r="A949" s="203" t="s">
        <v>832</v>
      </c>
      <c r="B949" s="159" t="str">
        <f>CONCATENATE(B735,"; ",B736)</f>
        <v>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 Remove development, test and/or custom application accounts, user IDs, and passwords before applications become active or are released to customers.</v>
      </c>
    </row>
    <row r="950" ht="15.75" customHeight="1">
      <c r="A950" s="164" t="s">
        <v>843</v>
      </c>
      <c r="B950" s="159" t="str">
        <f>CONCATENATE(B914,"; ",B907,"; ",B913)</f>
        <v>Implement an incident response plan. Be prepared to respond immediately to a system breach.;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51" ht="15.75" customHeight="1">
      <c r="A951" s="202" t="s">
        <v>863</v>
      </c>
      <c r="B951" s="159" t="str">
        <f>CONCATENATE(B903,"; ",B762,"; ",B773,"; ",B799)</f>
        <v>Implement a formal security awareness program to make all personnel aware of the cardholder data security policy and procedures.; Restrict access to cardholder data by business need to know; Assign a unique ID to each person with computer access; Restrict physical access to cardholder data</v>
      </c>
    </row>
    <row r="952" ht="15.75" customHeight="1">
      <c r="A952" s="203" t="s">
        <v>2741</v>
      </c>
      <c r="B952" s="159" t="str">
        <f>CONCATENATE(B762,"; ",B773,"; ",B799)</f>
        <v>Restrict access to cardholder data by business need to know; Assign a unique ID to each person with computer access; Restrict physical access to cardholder data</v>
      </c>
    </row>
    <row r="953" ht="15.75" customHeight="1">
      <c r="A953" s="201" t="s">
        <v>2742</v>
      </c>
      <c r="B953" s="159" t="str">
        <f>CONCATENATE(B881,"; ",B731)</f>
        <v>Establish, publish, maintain, and disseminate a security policy.; Ensure that security policies and operational procedures for protecting systems against malware are documented, in use, and known to all affected parties.</v>
      </c>
    </row>
    <row r="954" ht="15.75" customHeight="1">
      <c r="A954" s="164" t="s">
        <v>882</v>
      </c>
      <c r="B954" s="159" t="str">
        <f>CONCATENATE(B881,"; ",B897,"; ",B903)</f>
        <v>Establish, publish, maintain, and disseminate a security policy.; Assign to an individual or team the following information security management responsibilities:; Implement a formal security awareness program to make all personnel aware of the cardholder data security policy and procedures.</v>
      </c>
    </row>
    <row r="955" ht="15.75" customHeight="1">
      <c r="A955" s="202" t="s">
        <v>949</v>
      </c>
      <c r="B955" s="159" t="str">
        <f>CONCATENATE(B866,"; ",B870)</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v>
      </c>
    </row>
    <row r="956" ht="15.75" customHeight="1">
      <c r="A956" s="203" t="s">
        <v>954</v>
      </c>
      <c r="B956" s="159" t="str">
        <f>CONCATENATE(B866,"; ",B907)</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Maintain and implement policies and procedures to manage service providers, with whom cardholder data is shared, or that could affect the security of cardholder data, as follows</v>
      </c>
    </row>
    <row r="957" ht="15.75" customHeight="1">
      <c r="A957" s="164" t="s">
        <v>974</v>
      </c>
      <c r="B957" s="159" t="str">
        <f>CONCATENATE(B914,"; ",B827)</f>
        <v>Implement an incident response plan. Be prepared to respond immediately to a system breach.; Track and monitor all access to network resources and cardholder data</v>
      </c>
    </row>
    <row r="958" ht="15.75" customHeight="1">
      <c r="B958" s="159"/>
    </row>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1.22" defaultRowHeight="15.0"/>
  <cols>
    <col customWidth="1" min="1" max="1" width="6.0"/>
    <col customWidth="1" min="2" max="2" width="8.78"/>
    <col customWidth="1" min="3" max="3" width="28.44"/>
    <col customWidth="1" min="4" max="4" width="6.22"/>
    <col customWidth="1" min="5" max="5" width="6.11"/>
    <col customWidth="1" min="6" max="6" width="8.78"/>
    <col customWidth="1" min="7" max="7" width="4.11"/>
    <col customWidth="1" min="8" max="8" width="5.11"/>
    <col customWidth="1" min="9" max="9" width="3.78"/>
    <col customWidth="1" min="10" max="10" width="3.11"/>
    <col customWidth="1" min="11" max="13" width="9.22"/>
    <col customWidth="1" min="14" max="14" width="12.11"/>
    <col customWidth="1" min="15" max="16" width="9.22"/>
    <col customWidth="1" min="17" max="17" width="11.78"/>
    <col customWidth="1" min="18" max="19" width="12.22"/>
    <col customWidth="1" min="20" max="25" width="9.78"/>
    <col customWidth="1" min="26" max="26" width="8.78"/>
  </cols>
  <sheetData>
    <row r="1" ht="13.5" customHeight="1">
      <c r="A1" s="164" t="s">
        <v>2316</v>
      </c>
      <c r="B1" s="164" t="s">
        <v>1161</v>
      </c>
      <c r="C1" s="164" t="s">
        <v>1162</v>
      </c>
      <c r="D1" s="164" t="s">
        <v>2322</v>
      </c>
      <c r="E1" s="164" t="s">
        <v>2323</v>
      </c>
      <c r="F1" s="164" t="s">
        <v>2324</v>
      </c>
      <c r="G1" s="164" t="s">
        <v>2325</v>
      </c>
      <c r="H1" s="164" t="s">
        <v>2326</v>
      </c>
      <c r="I1" s="164" t="s">
        <v>2327</v>
      </c>
      <c r="J1" s="164" t="s">
        <v>2328</v>
      </c>
      <c r="K1" s="164" t="s">
        <v>2329</v>
      </c>
      <c r="L1" s="164" t="s">
        <v>1153</v>
      </c>
      <c r="M1" s="9" t="s">
        <v>2330</v>
      </c>
      <c r="N1" s="9" t="s">
        <v>152</v>
      </c>
      <c r="O1" s="165" t="s">
        <v>2331</v>
      </c>
      <c r="P1" s="167" t="s">
        <v>154</v>
      </c>
      <c r="Q1" s="165" t="s">
        <v>155</v>
      </c>
      <c r="R1" s="165" t="s">
        <v>156</v>
      </c>
      <c r="S1" s="165" t="s">
        <v>157</v>
      </c>
      <c r="T1" s="169"/>
      <c r="U1" s="169" t="s">
        <v>2332</v>
      </c>
      <c r="V1" s="169" t="s">
        <v>2333</v>
      </c>
      <c r="W1" s="169" t="s">
        <v>1153</v>
      </c>
      <c r="X1" s="169" t="s">
        <v>1152</v>
      </c>
      <c r="Y1" s="169" t="s">
        <v>1154</v>
      </c>
      <c r="Z1" s="164"/>
    </row>
    <row r="2" ht="13.5" customHeight="1">
      <c r="A2" s="164">
        <v>1.0</v>
      </c>
      <c r="B2" s="171" t="s">
        <v>83</v>
      </c>
      <c r="C2" s="164" t="str">
        <f>VLOOKUP(B2,HECVAT!A:E,2,FALSE)</f>
        <v>Does your product process protected health information (PHI) or any data covered by the Health Insurance Portability and Accountability Act?</v>
      </c>
      <c r="D2" s="164" t="str">
        <f>VLOOKUP(B2,HECVAT!A:E,4,FALSE)</f>
        <v/>
      </c>
      <c r="E2" s="174" t="b">
        <v>1</v>
      </c>
      <c r="F2" s="171" t="s">
        <v>15</v>
      </c>
      <c r="G2" s="171" t="s">
        <v>92</v>
      </c>
      <c r="H2" s="176">
        <v>1.0</v>
      </c>
      <c r="I2" s="164" t="str">
        <f>VLOOKUP(B2,HECVAT!A:E,3,FALSE)</f>
        <v>No</v>
      </c>
      <c r="J2" s="164">
        <v>1.0</v>
      </c>
      <c r="K2" s="164">
        <f>IF(Questions!$H2=1,10,"")</f>
        <v>10</v>
      </c>
      <c r="L2" s="164">
        <f>IF(Questions!$H2=1,J2*K2,"")</f>
        <v>10</v>
      </c>
      <c r="M2" s="180" t="str">
        <f>VLOOKUP($B2,'Standards Crosswalk'!$A:$H,3,FALSE)</f>
        <v>CSC 13</v>
      </c>
      <c r="N2" s="180" t="str">
        <f>VLOOKUP($B2,'Standards Crosswalk'!$A:$H,4,FALSE)</f>
        <v>Discovery</v>
      </c>
      <c r="O2" s="180" t="str">
        <f>VLOOKUP($B2,'Standards Crosswalk'!$A:$H,5,FALSE)</f>
        <v>18.1.1</v>
      </c>
      <c r="P2" s="180" t="str">
        <f>VLOOKUP($B2,'Standards Crosswalk'!$A:$H,6,FALSE)</f>
        <v>ID.GV-3</v>
      </c>
      <c r="Q2" s="180" t="str">
        <f>VLOOKUP($B2,'Standards Crosswalk'!$A:$H,7,FALSE)</f>
        <v>ID.GV-3</v>
      </c>
      <c r="R2" s="180" t="str">
        <f>VLOOKUP($B2,'Standards Crosswalk'!$A:$H,8,FALSE)</f>
        <v>RA-2</v>
      </c>
      <c r="S2" s="180" t="str">
        <f>VLOOKUP($B2,'Standards Crosswalk'!$A:$I,9,FALSE)</f>
        <v/>
      </c>
      <c r="T2" s="171" t="s">
        <v>17</v>
      </c>
      <c r="U2" s="184">
        <f>COUNTIFS(B:B,"DOCU*",J:J,"=1")</f>
        <v>1</v>
      </c>
      <c r="V2" s="185">
        <f>COUNTIF(B:B,"DOCU*")</f>
        <v>6</v>
      </c>
      <c r="W2" s="185">
        <f>SUMIFS(L:L,B:B, "DOCU*")</f>
        <v>25</v>
      </c>
      <c r="X2" s="185">
        <f>SUMIFS(K:K,B:B, "DOCU*")</f>
        <v>105</v>
      </c>
      <c r="Y2" s="186">
        <f t="shared" ref="Y2:Y14" si="1">W2/X2</f>
        <v>0.2380952381</v>
      </c>
      <c r="Z2" s="164"/>
    </row>
    <row r="3" ht="13.5" customHeight="1">
      <c r="A3" s="164">
        <f t="shared" ref="A3:A5" si="2">A2+1</f>
        <v>2</v>
      </c>
      <c r="B3" s="171" t="s">
        <v>86</v>
      </c>
      <c r="C3" s="164" t="str">
        <f>VLOOKUP(B3,HECVAT!A:E,2,FALSE)</f>
        <v>Does the vended product host/support a mobile application? (e.g. app)</v>
      </c>
      <c r="D3" s="164" t="str">
        <f>VLOOKUP(B3,HECVAT!A:E,4,FALSE)</f>
        <v/>
      </c>
      <c r="E3" s="174" t="b">
        <v>0</v>
      </c>
      <c r="F3" s="171" t="s">
        <v>15</v>
      </c>
      <c r="G3" s="171" t="s">
        <v>92</v>
      </c>
      <c r="H3" s="176">
        <v>1.0</v>
      </c>
      <c r="I3" s="164" t="str">
        <f>VLOOKUP(B3,HECVAT!A:E,3,FALSE)</f>
        <v>No</v>
      </c>
      <c r="J3" s="164">
        <v>1.0</v>
      </c>
      <c r="K3" s="164">
        <f>IF(Questions!$H3=1,10,"")</f>
        <v>10</v>
      </c>
      <c r="L3" s="164">
        <f>IF(Questions!$H3=1,J3*K3,"")</f>
        <v>10</v>
      </c>
      <c r="M3" s="180" t="str">
        <f>VLOOKUP($B3,'Standards Crosswalk'!$A:$H,3,FALSE)</f>
        <v>CSC 18</v>
      </c>
      <c r="N3" s="180" t="str">
        <f>VLOOKUP($B3,'Standards Crosswalk'!$A:$H,4,FALSE)</f>
        <v/>
      </c>
      <c r="O3" s="180" t="str">
        <f>VLOOKUP($B3,'Standards Crosswalk'!$A:$H,5,FALSE)</f>
        <v/>
      </c>
      <c r="P3" s="180" t="str">
        <f>VLOOKUP($B3,'Standards Crosswalk'!$A:$H,6,FALSE)</f>
        <v/>
      </c>
      <c r="Q3" s="180" t="str">
        <f>VLOOKUP($B3,'Standards Crosswalk'!$A:$H,7,FALSE)</f>
        <v/>
      </c>
      <c r="R3" s="180" t="str">
        <f>VLOOKUP($B3,'Standards Crosswalk'!$A:$H,8,FALSE)</f>
        <v>IA-2, IA-3, CM-3, SI-2</v>
      </c>
      <c r="S3" s="180" t="str">
        <f>VLOOKUP($B3,'Standards Crosswalk'!$A:$I,9,FALSE)</f>
        <v/>
      </c>
      <c r="T3" s="171" t="s">
        <v>2628</v>
      </c>
      <c r="U3" s="185">
        <f>COUNTIFS(B:B,"APPL*",J:J,"=1")</f>
        <v>8</v>
      </c>
      <c r="V3" s="185">
        <f>COUNTIF(B:B,"APPL*")</f>
        <v>18</v>
      </c>
      <c r="W3" s="185">
        <f>SUMIFS(L:L,B:B, "APPL*")</f>
        <v>195</v>
      </c>
      <c r="X3" s="185">
        <f>SUMIFS(K:K,B:B, "APPL*")</f>
        <v>390</v>
      </c>
      <c r="Y3" s="186">
        <f t="shared" si="1"/>
        <v>0.5</v>
      </c>
      <c r="Z3" s="164"/>
    </row>
    <row r="4" ht="13.5" customHeight="1">
      <c r="A4" s="164">
        <f t="shared" si="2"/>
        <v>3</v>
      </c>
      <c r="B4" s="171" t="s">
        <v>88</v>
      </c>
      <c r="C4" s="164" t="str">
        <f>VLOOKUP(B4,HECVAT!A:E,2,FALSE)</f>
        <v>Will institution data be shared with or hosted by any third parties? (e.g. any entity not wholly-owned by your company is considered a third-party)</v>
      </c>
      <c r="D4" s="164" t="str">
        <f>VLOOKUP(B4,HECVAT!A:E,4,FALSE)</f>
        <v/>
      </c>
      <c r="E4" s="174" t="b">
        <v>1</v>
      </c>
      <c r="F4" s="171" t="s">
        <v>15</v>
      </c>
      <c r="G4" s="171" t="s">
        <v>85</v>
      </c>
      <c r="H4" s="176">
        <v>1.0</v>
      </c>
      <c r="I4" s="164" t="str">
        <f>VLOOKUP(B4,HECVAT!A:E,3,FALSE)</f>
        <v>No</v>
      </c>
      <c r="J4" s="164">
        <v>1.0</v>
      </c>
      <c r="K4" s="164">
        <f>IF(Questions!$H4=1,10,"")</f>
        <v>10</v>
      </c>
      <c r="L4" s="164">
        <f>IF(Questions!$H4=1,J4*K4,"")</f>
        <v>10</v>
      </c>
      <c r="M4" s="180" t="str">
        <f>VLOOKUP($B4,'Standards Crosswalk'!$A:$H,3,FALSE)</f>
        <v>CSC 13</v>
      </c>
      <c r="N4" s="180" t="str">
        <f>VLOOKUP($B4,'Standards Crosswalk'!$A:$H,4,FALSE)</f>
        <v/>
      </c>
      <c r="O4" s="180" t="str">
        <f>VLOOKUP($B4,'Standards Crosswalk'!$A:$H,5,FALSE)</f>
        <v/>
      </c>
      <c r="P4" s="180" t="str">
        <f>VLOOKUP($B4,'Standards Crosswalk'!$A:$H,6,FALSE)</f>
        <v>ID.AM-6, PR.AT-3</v>
      </c>
      <c r="Q4" s="180" t="str">
        <f>VLOOKUP($B4,'Standards Crosswalk'!$A:$H,7,FALSE)</f>
        <v>ID.AM-6, PR.AT-3</v>
      </c>
      <c r="R4" s="180" t="str">
        <f>VLOOKUP($B4,'Standards Crosswalk'!$A:$H,8,FALSE)</f>
        <v/>
      </c>
      <c r="S4" s="180">
        <f>VLOOKUP($B4,'Standards Crosswalk'!$A:$I,9,FALSE)</f>
        <v>12.8</v>
      </c>
      <c r="T4" s="171" t="s">
        <v>2736</v>
      </c>
      <c r="U4" s="185">
        <f>COUNTIFS(B:B,"AAAI*",J:J,"=1")</f>
        <v>8</v>
      </c>
      <c r="V4" s="185">
        <f>COUNTIF(B:B,"AAAI*")</f>
        <v>17</v>
      </c>
      <c r="W4" s="185">
        <f>SUMIFS(L:L,B:B, "AAAI*")</f>
        <v>240</v>
      </c>
      <c r="X4" s="185">
        <f>SUMIFS(K:K,B:B, "AAAI*")</f>
        <v>365</v>
      </c>
      <c r="Y4" s="186">
        <f t="shared" si="1"/>
        <v>0.6575342466</v>
      </c>
      <c r="Z4" s="164"/>
    </row>
    <row r="5" ht="13.5" customHeight="1">
      <c r="A5" s="164">
        <f t="shared" si="2"/>
        <v>4</v>
      </c>
      <c r="B5" s="171" t="s">
        <v>90</v>
      </c>
      <c r="C5" s="164" t="str">
        <f>VLOOKUP(B5,HECVAT!A:E,2,FALSE)</f>
        <v>Do you have a Business Continuity Plan (BCP)?</v>
      </c>
      <c r="D5" s="164" t="str">
        <f>VLOOKUP(B5,HECVAT!A:E,4,FALSE)</f>
        <v/>
      </c>
      <c r="E5" s="174" t="b">
        <v>1</v>
      </c>
      <c r="F5" s="171" t="s">
        <v>15</v>
      </c>
      <c r="G5" s="171" t="s">
        <v>92</v>
      </c>
      <c r="H5" s="176">
        <v>1.0</v>
      </c>
      <c r="I5" s="164" t="str">
        <f>VLOOKUP(B5,HECVAT!A:E,3,FALSE)</f>
        <v>Yes</v>
      </c>
      <c r="J5" s="164">
        <v>1.0</v>
      </c>
      <c r="K5" s="164">
        <f>IF(Questions!$H5=1,10,"")</f>
        <v>10</v>
      </c>
      <c r="L5" s="164">
        <f>IF(Questions!$H5=1,J5*K5,"")</f>
        <v>10</v>
      </c>
      <c r="M5" s="180" t="str">
        <f>VLOOKUP($B5,'Standards Crosswalk'!$A:$H,3,FALSE)</f>
        <v>CSC 10</v>
      </c>
      <c r="N5" s="180" t="str">
        <f>VLOOKUP($B5,'Standards Crosswalk'!$A:$H,4,FALSE)</f>
        <v/>
      </c>
      <c r="O5" s="180" t="str">
        <f>VLOOKUP($B5,'Standards Crosswalk'!$A:$H,5,FALSE)</f>
        <v>17.1.2</v>
      </c>
      <c r="P5" s="180" t="str">
        <f>VLOOKUP($B5,'Standards Crosswalk'!$A:$H,6,FALSE)</f>
        <v>PR.IP-9</v>
      </c>
      <c r="Q5" s="180" t="str">
        <f>VLOOKUP($B5,'Standards Crosswalk'!$A:$H,7,FALSE)</f>
        <v>PR.IP-9</v>
      </c>
      <c r="R5" s="180" t="str">
        <f>VLOOKUP($B5,'Standards Crosswalk'!$A:$H,8,FALSE)</f>
        <v>AU-7, AU-9, IR-4</v>
      </c>
      <c r="S5" s="180">
        <f>VLOOKUP($B5,'Standards Crosswalk'!$A:$I,9,FALSE)</f>
        <v>12.1</v>
      </c>
      <c r="T5" s="204" t="s">
        <v>2739</v>
      </c>
      <c r="U5" s="185">
        <f>COUNTIFS(B:B,"CHNG*",J:J,"=1")</f>
        <v>9</v>
      </c>
      <c r="V5" s="185">
        <f>COUNTIF(B:B,"CHNG*")</f>
        <v>15</v>
      </c>
      <c r="W5" s="185">
        <f>SUMIFS(L:L,B:B, "CHNG*")</f>
        <v>170</v>
      </c>
      <c r="X5" s="185">
        <f>SUMIFS(K:K,B:B, "CHNG*")</f>
        <v>275</v>
      </c>
      <c r="Y5" s="186">
        <f t="shared" si="1"/>
        <v>0.6181818182</v>
      </c>
      <c r="Z5" s="164"/>
    </row>
    <row r="6" ht="13.5" customHeight="1">
      <c r="A6" s="164"/>
      <c r="B6" s="171"/>
      <c r="C6" s="164"/>
      <c r="D6" s="164"/>
      <c r="E6" s="174"/>
      <c r="F6" s="204"/>
      <c r="G6" s="171"/>
      <c r="H6" s="176"/>
      <c r="I6" s="164"/>
      <c r="J6" s="164"/>
      <c r="K6" s="164"/>
      <c r="L6" s="164"/>
      <c r="M6" s="180"/>
      <c r="N6" s="180" t="str">
        <f>VLOOKUP($B7,'Standards Crosswalk'!$A:$H,4,FALSE)</f>
        <v/>
      </c>
      <c r="O6" s="180"/>
      <c r="P6" s="180"/>
      <c r="Q6" s="180"/>
      <c r="R6" s="180"/>
      <c r="S6" s="180"/>
      <c r="T6" s="204" t="s">
        <v>2740</v>
      </c>
      <c r="U6" s="185">
        <f>COUNTIFS(B:B,"COMP*",J:J,"=1")</f>
        <v>3</v>
      </c>
      <c r="V6" s="185">
        <f>COUNTIF(B:B,"COMP*")</f>
        <v>7</v>
      </c>
      <c r="W6" s="185">
        <f>SUMIFS(L:L,B:B, "COMP*")</f>
        <v>65</v>
      </c>
      <c r="X6" s="185">
        <f>SUMIFS(K:K,B:B, "COMP*")</f>
        <v>120</v>
      </c>
      <c r="Y6" s="186">
        <f t="shared" si="1"/>
        <v>0.5416666667</v>
      </c>
      <c r="Z6" s="164"/>
    </row>
    <row r="7" ht="13.5" customHeight="1">
      <c r="A7" s="164">
        <f>A5+1</f>
        <v>5</v>
      </c>
      <c r="B7" s="171" t="s">
        <v>93</v>
      </c>
      <c r="C7" s="164" t="str">
        <f>VLOOKUP(B7,HECVAT!A:E,2,FALSE)</f>
        <v>Do you have a Disaster Recovery Plan (DRP)?</v>
      </c>
      <c r="D7" s="164" t="str">
        <f>VLOOKUP(B7,HECVAT!A:E,4,FALSE)</f>
        <v/>
      </c>
      <c r="E7" s="174" t="b">
        <v>1</v>
      </c>
      <c r="F7" s="171" t="s">
        <v>15</v>
      </c>
      <c r="G7" s="171" t="s">
        <v>92</v>
      </c>
      <c r="H7" s="176">
        <v>1.0</v>
      </c>
      <c r="I7" s="164" t="str">
        <f>VLOOKUP(B7,HECVAT!A:E,3,FALSE)</f>
        <v>Yes</v>
      </c>
      <c r="J7" s="164">
        <v>1.0</v>
      </c>
      <c r="K7" s="164">
        <f>IF(Questions!$H7=1,10,"")</f>
        <v>10</v>
      </c>
      <c r="L7" s="164">
        <f>IF(Questions!$H7=1,J7*K7,"")</f>
        <v>10</v>
      </c>
      <c r="M7" s="180" t="str">
        <f>VLOOKUP($B7,'Standards Crosswalk'!$A:$H,3,FALSE)</f>
        <v>CSC 10</v>
      </c>
      <c r="N7" s="180" t="str">
        <f>VLOOKUP($B7,'Standards Crosswalk'!$A:$H,4,FALSE)</f>
        <v/>
      </c>
      <c r="O7" s="180" t="str">
        <f>VLOOKUP($B7,'Standards Crosswalk'!$A:$H,5,FALSE)</f>
        <v>17.1.2</v>
      </c>
      <c r="P7" s="180" t="str">
        <f>VLOOKUP($B7,'Standards Crosswalk'!$A:$H,6,FALSE)</f>
        <v>PR.IP-9</v>
      </c>
      <c r="Q7" s="180" t="str">
        <f>VLOOKUP($B7,'Standards Crosswalk'!$A:$H,7,FALSE)</f>
        <v>PR.IP-9</v>
      </c>
      <c r="R7" s="180" t="str">
        <f>VLOOKUP($B7,'Standards Crosswalk'!$A:$H,8,FALSE)</f>
        <v>CA-5, PL-2</v>
      </c>
      <c r="S7" s="180">
        <f>VLOOKUP($B7,'Standards Crosswalk'!$A:$I,9,FALSE)</f>
        <v>12.1</v>
      </c>
      <c r="T7" s="171" t="s">
        <v>2743</v>
      </c>
      <c r="U7" s="206">
        <f>COUNTIFS(B:B,"DATA*",J:J,"=1")</f>
        <v>19</v>
      </c>
      <c r="V7" s="206">
        <f>COUNTIF(B:B,"DATA*")</f>
        <v>27</v>
      </c>
      <c r="W7" s="206">
        <f>SUMIFS(L:L,B:B, "DATA*")</f>
        <v>410</v>
      </c>
      <c r="X7" s="206">
        <f>SUMIFS(K:K,B:B, "DATA*")</f>
        <v>565</v>
      </c>
      <c r="Y7" s="207">
        <f t="shared" si="1"/>
        <v>0.7256637168</v>
      </c>
      <c r="Z7" s="164"/>
    </row>
    <row r="8" ht="13.5" customHeight="1">
      <c r="A8" s="164">
        <f t="shared" ref="A8:A271" si="3">A7+1</f>
        <v>6</v>
      </c>
      <c r="B8" s="171" t="s">
        <v>95</v>
      </c>
      <c r="C8" s="164" t="str">
        <f>VLOOKUP(B8,HECVAT!A:E,2,FALSE)</f>
        <v>Will data regulated by PCI DSS reside in the vended product?</v>
      </c>
      <c r="D8" s="164" t="str">
        <f>VLOOKUP(B8,HECVAT!A:E,4,FALSE)</f>
        <v/>
      </c>
      <c r="E8" s="174" t="b">
        <v>1</v>
      </c>
      <c r="F8" s="171" t="s">
        <v>15</v>
      </c>
      <c r="G8" s="171" t="s">
        <v>85</v>
      </c>
      <c r="H8" s="176">
        <v>1.0</v>
      </c>
      <c r="I8" s="164" t="str">
        <f>VLOOKUP(B8,HECVAT!A:E,3,FALSE)</f>
        <v>No</v>
      </c>
      <c r="J8" s="164">
        <v>1.0</v>
      </c>
      <c r="K8" s="164">
        <f>IF(Questions!$H8=1,10,"")</f>
        <v>10</v>
      </c>
      <c r="L8" s="164">
        <f>IF(Questions!$H8=1,J8*K8,"")</f>
        <v>10</v>
      </c>
      <c r="M8" s="180" t="str">
        <f>VLOOKUP($B8,'Standards Crosswalk'!$A:$H,3,FALSE)</f>
        <v>CSC 13</v>
      </c>
      <c r="N8" s="180" t="str">
        <f>VLOOKUP($B8,'Standards Crosswalk'!$A:$H,4,FALSE)</f>
        <v/>
      </c>
      <c r="O8" s="180" t="str">
        <f>VLOOKUP($B8,'Standards Crosswalk'!$A:$H,5,FALSE)</f>
        <v>18.1.1</v>
      </c>
      <c r="P8" s="180" t="str">
        <f>VLOOKUP($B8,'Standards Crosswalk'!$A:$H,6,FALSE)</f>
        <v>ID.GV-3</v>
      </c>
      <c r="Q8" s="180" t="str">
        <f>VLOOKUP($B8,'Standards Crosswalk'!$A:$H,7,FALSE)</f>
        <v>ID.GV-3</v>
      </c>
      <c r="R8" s="180" t="str">
        <f>VLOOKUP($B8,'Standards Crosswalk'!$A:$H,8,FALSE)</f>
        <v>RA-2</v>
      </c>
      <c r="S8" s="180" t="str">
        <f>VLOOKUP($B8,'Standards Crosswalk'!$A:$I,9,FALSE)</f>
        <v>PCI Scope, Discovery</v>
      </c>
      <c r="T8" s="9" t="s">
        <v>2744</v>
      </c>
      <c r="U8" s="185">
        <f>COUNTIFS(B:B,"DBAS*",J:J,"=1")</f>
        <v>2</v>
      </c>
      <c r="V8" s="185">
        <f>COUNTIF(B:B,"DBAS*")</f>
        <v>2</v>
      </c>
      <c r="W8" s="185">
        <f>SUMIFS(L:L,B:B, "DBAS*")</f>
        <v>50</v>
      </c>
      <c r="X8" s="185">
        <f>SUMIFS(K:K,B:B, "DBAS*")</f>
        <v>50</v>
      </c>
      <c r="Y8" s="186">
        <f t="shared" si="1"/>
        <v>1</v>
      </c>
      <c r="Z8" s="164"/>
    </row>
    <row r="9" ht="13.5" customHeight="1">
      <c r="A9" s="164">
        <f t="shared" si="3"/>
        <v>7</v>
      </c>
      <c r="B9" s="171" t="s">
        <v>97</v>
      </c>
      <c r="C9" s="164" t="str">
        <f>VLOOKUP(B9,HECVAT!A:E,2,FALSE)</f>
        <v>Is your company a consulting firm providing only consultation to the Institution?</v>
      </c>
      <c r="D9" s="164" t="str">
        <f>VLOOKUP(B9,HECVAT!A:E,4,FALSE)</f>
        <v/>
      </c>
      <c r="E9" s="174" t="b">
        <v>0</v>
      </c>
      <c r="F9" s="171" t="s">
        <v>15</v>
      </c>
      <c r="G9" s="171" t="s">
        <v>92</v>
      </c>
      <c r="H9" s="176">
        <v>1.0</v>
      </c>
      <c r="I9" s="164" t="str">
        <f>VLOOKUP(B9,HECVAT!A:E,3,FALSE)</f>
        <v>No</v>
      </c>
      <c r="J9" s="164">
        <v>1.0</v>
      </c>
      <c r="K9" s="164">
        <f>IF(Questions!$H9=1,10,"")</f>
        <v>10</v>
      </c>
      <c r="L9" s="164">
        <f>IF(Questions!$H9=1,J9*K9,"")</f>
        <v>10</v>
      </c>
      <c r="M9" s="180" t="str">
        <f>VLOOKUP($B9,'Standards Crosswalk'!$A:$H,3,FALSE)</f>
        <v>CSC 14</v>
      </c>
      <c r="N9" s="180" t="str">
        <f>VLOOKUP($B9,'Standards Crosswalk'!$A:$H,4,FALSE)</f>
        <v/>
      </c>
      <c r="O9" s="180" t="str">
        <f>VLOOKUP($B9,'Standards Crosswalk'!$A:$H,5,FALSE)</f>
        <v/>
      </c>
      <c r="P9" s="180" t="str">
        <f>VLOOKUP($B9,'Standards Crosswalk'!$A:$H,6,FALSE)</f>
        <v/>
      </c>
      <c r="Q9" s="180" t="str">
        <f>VLOOKUP($B9,'Standards Crosswalk'!$A:$H,7,FALSE)</f>
        <v/>
      </c>
      <c r="R9" s="180" t="str">
        <f>VLOOKUP($B9,'Standards Crosswalk'!$A:$H,8,FALSE)</f>
        <v/>
      </c>
      <c r="S9" s="180" t="str">
        <f>VLOOKUP($B9,'Standards Crosswalk'!$A:$I,9,FALSE)</f>
        <v>PCI Scope</v>
      </c>
      <c r="T9" s="9" t="s">
        <v>2745</v>
      </c>
      <c r="U9" s="185">
        <f>COUNTIFS(B:B,"DCTR*",J:J,"=1")</f>
        <v>9</v>
      </c>
      <c r="V9" s="185">
        <f>COUNTIF(B:B,"DCTR*")</f>
        <v>18</v>
      </c>
      <c r="W9" s="185">
        <f>SUMIFS(L:L,B:B, "DCTR*")</f>
        <v>175</v>
      </c>
      <c r="X9" s="185">
        <f>SUMIFS(K:K,B:B, "DCTR*")</f>
        <v>350</v>
      </c>
      <c r="Y9" s="186">
        <f t="shared" si="1"/>
        <v>0.5</v>
      </c>
      <c r="Z9" s="164"/>
    </row>
    <row r="10" ht="13.5" customHeight="1">
      <c r="A10" s="164">
        <f t="shared" si="3"/>
        <v>8</v>
      </c>
      <c r="B10" s="171" t="s">
        <v>99</v>
      </c>
      <c r="C10" s="164" t="str">
        <f>VLOOKUP(B10,HECVAT!A:E,2,FALSE)</f>
        <v>Have you undergone a SSAE 16 audit?</v>
      </c>
      <c r="D10" s="164" t="str">
        <f>VLOOKUP(B10,HECVAT!A:E,4,FALSE)</f>
        <v>SSAE Audit targeted for August 2019</v>
      </c>
      <c r="E10" s="174" t="b">
        <f>IF(Questions!$K10&gt;20,TRUE,FALSE)</f>
        <v>0</v>
      </c>
      <c r="F10" s="174" t="s">
        <v>17</v>
      </c>
      <c r="G10" s="171" t="s">
        <v>92</v>
      </c>
      <c r="H10" s="176">
        <v>1.0</v>
      </c>
      <c r="I10" s="164" t="str">
        <f>VLOOKUP(B10,HECVAT!A:E,3,FALSE)</f>
        <v>No</v>
      </c>
      <c r="J10" s="164">
        <f>IF(Questions!$G10=Questions!$I10,1,0)</f>
        <v>0</v>
      </c>
      <c r="K10" s="164">
        <f>IF(Questions!$H10=1,15,"")</f>
        <v>15</v>
      </c>
      <c r="L10" s="164">
        <f>IF(Questions!$H10=1,J10*K10,"")</f>
        <v>0</v>
      </c>
      <c r="M10" s="180" t="str">
        <f>VLOOKUP($B10,'Standards Crosswalk'!$A:$H,3,FALSE)</f>
        <v/>
      </c>
      <c r="N10" s="180" t="str">
        <f>VLOOKUP($B10,'Standards Crosswalk'!$A:$H,4,FALSE)</f>
        <v/>
      </c>
      <c r="O10" s="180" t="str">
        <f>VLOOKUP($B10,'Standards Crosswalk'!$A:$H,5,FALSE)</f>
        <v>15.2.1</v>
      </c>
      <c r="P10" s="180" t="str">
        <f>VLOOKUP($B10,'Standards Crosswalk'!$A:$H,6,FALSE)</f>
        <v/>
      </c>
      <c r="Q10" s="180" t="str">
        <f>VLOOKUP($B10,'Standards Crosswalk'!$A:$H,7,FALSE)</f>
        <v/>
      </c>
      <c r="R10" s="180" t="str">
        <f>VLOOKUP($B10,'Standards Crosswalk'!$A:$H,8,FALSE)</f>
        <v>SA-9</v>
      </c>
      <c r="S10" s="180" t="str">
        <f>VLOOKUP($B10,'Standards Crosswalk'!$A:$I,9,FALSE)</f>
        <v/>
      </c>
      <c r="T10" s="9" t="s">
        <v>2746</v>
      </c>
      <c r="U10" s="185">
        <f>COUNTIFS(B:B,"FIDP*",J:J,"=1")</f>
        <v>6</v>
      </c>
      <c r="V10" s="185">
        <f>COUNTIF(B:B,"FIDP*")</f>
        <v>12</v>
      </c>
      <c r="W10" s="185">
        <f>SUMIFS(L:L,B:B, "FIDP*")</f>
        <v>135</v>
      </c>
      <c r="X10" s="185">
        <f>SUMIFS(K:K,B:B, "FIDP*")</f>
        <v>265</v>
      </c>
      <c r="Y10" s="186">
        <f t="shared" si="1"/>
        <v>0.5094339623</v>
      </c>
      <c r="Z10" s="164"/>
    </row>
    <row r="11" ht="13.5" customHeight="1">
      <c r="A11" s="164">
        <f t="shared" si="3"/>
        <v>9</v>
      </c>
      <c r="B11" s="171" t="s">
        <v>102</v>
      </c>
      <c r="C11" s="164" t="str">
        <f>VLOOKUP(B11,HECVAT!A:E,2,FALSE)</f>
        <v>Have you completed the Cloud Security Alliance (CSA) self assessment or CAIQ?</v>
      </c>
      <c r="D11" s="164" t="str">
        <f>VLOOKUP(B11,HECVAT!A:E,4,FALSE)</f>
        <v>No plans at this point</v>
      </c>
      <c r="E11" s="174" t="b">
        <f>IF(Questions!$K11&gt;20,TRUE,FALSE)</f>
        <v>0</v>
      </c>
      <c r="F11" s="174" t="s">
        <v>17</v>
      </c>
      <c r="G11" s="171" t="s">
        <v>92</v>
      </c>
      <c r="H11" s="176">
        <v>1.0</v>
      </c>
      <c r="I11" s="164" t="str">
        <f>VLOOKUP(B11,HECVAT!A:E,3,FALSE)</f>
        <v>No</v>
      </c>
      <c r="J11" s="164">
        <f>IF(Questions!$G11=Questions!$I11,1,0)</f>
        <v>0</v>
      </c>
      <c r="K11" s="164">
        <f>IF(Questions!$H11=1,10,"")</f>
        <v>10</v>
      </c>
      <c r="L11" s="164">
        <f>IF(Questions!$H11=1,J11*K11,"")</f>
        <v>0</v>
      </c>
      <c r="M11" s="180" t="str">
        <f>VLOOKUP($B11,'Standards Crosswalk'!$A:$H,3,FALSE)</f>
        <v/>
      </c>
      <c r="N11" s="180" t="str">
        <f>VLOOKUP($B11,'Standards Crosswalk'!$A:$H,4,FALSE)</f>
        <v/>
      </c>
      <c r="O11" s="180" t="str">
        <f>VLOOKUP($B11,'Standards Crosswalk'!$A:$H,5,FALSE)</f>
        <v>15.2.1</v>
      </c>
      <c r="P11" s="180" t="str">
        <f>VLOOKUP($B11,'Standards Crosswalk'!$A:$H,6,FALSE)</f>
        <v/>
      </c>
      <c r="Q11" s="180" t="str">
        <f>VLOOKUP($B11,'Standards Crosswalk'!$A:$H,7,FALSE)</f>
        <v/>
      </c>
      <c r="R11" s="180" t="str">
        <f>VLOOKUP($B11,'Standards Crosswalk'!$A:$H,8,FALSE)</f>
        <v>PE-2, PE-3, PE-5, PE-11, PE-13, PE-14, SA-9</v>
      </c>
      <c r="S11" s="180" t="str">
        <f>VLOOKUP($B11,'Standards Crosswalk'!$A:$I,9,FALSE)</f>
        <v/>
      </c>
      <c r="T11" s="9" t="s">
        <v>2747</v>
      </c>
      <c r="U11" s="185">
        <f>COUNTIFS(B:B,"PHYS*",J:J,"=1")</f>
        <v>5</v>
      </c>
      <c r="V11" s="185">
        <f>COUNTIF(B:B,"PHYS*")</f>
        <v>5</v>
      </c>
      <c r="W11" s="185">
        <f>SUMIFS(L:L,B:B, "PHYS*")</f>
        <v>100</v>
      </c>
      <c r="X11" s="185">
        <f>SUMIFS(K:K,B:B, "PHYS*")</f>
        <v>100</v>
      </c>
      <c r="Y11" s="186">
        <f t="shared" si="1"/>
        <v>1</v>
      </c>
      <c r="Z11" s="164"/>
    </row>
    <row r="12" ht="13.5" customHeight="1">
      <c r="A12" s="164">
        <f t="shared" si="3"/>
        <v>10</v>
      </c>
      <c r="B12" s="171" t="s">
        <v>105</v>
      </c>
      <c r="C12" s="164" t="str">
        <f>VLOOKUP(B12,HECVAT!A:E,2,FALSE)</f>
        <v>Have you received the Cloud Security Alliance STAR certification?</v>
      </c>
      <c r="D12" s="164" t="str">
        <f>VLOOKUP(B12,HECVAT!A:E,4,FALSE)</f>
        <v>No plans at this point</v>
      </c>
      <c r="E12" s="174" t="b">
        <f>IF(Questions!$K12&gt;20,TRUE,FALSE)</f>
        <v>0</v>
      </c>
      <c r="F12" s="174" t="s">
        <v>17</v>
      </c>
      <c r="G12" s="171" t="s">
        <v>92</v>
      </c>
      <c r="H12" s="176">
        <v>1.0</v>
      </c>
      <c r="I12" s="164" t="str">
        <f>VLOOKUP(B12,HECVAT!A:E,3,FALSE)</f>
        <v>No</v>
      </c>
      <c r="J12" s="164">
        <f>IF(Questions!$G12=Questions!$I12,1,0)</f>
        <v>0</v>
      </c>
      <c r="K12" s="164">
        <f>IF(Questions!$H12=1,15,"")</f>
        <v>15</v>
      </c>
      <c r="L12" s="164">
        <f>IF(Questions!$H12=1,J12*K12,"")</f>
        <v>0</v>
      </c>
      <c r="M12" s="180" t="str">
        <f>VLOOKUP($B12,'Standards Crosswalk'!$A:$H,3,FALSE)</f>
        <v/>
      </c>
      <c r="N12" s="180" t="str">
        <f>VLOOKUP($B12,'Standards Crosswalk'!$A:$H,4,FALSE)</f>
        <v/>
      </c>
      <c r="O12" s="180" t="str">
        <f>VLOOKUP($B12,'Standards Crosswalk'!$A:$H,5,FALSE)</f>
        <v>15.2.1</v>
      </c>
      <c r="P12" s="180" t="str">
        <f>VLOOKUP($B12,'Standards Crosswalk'!$A:$H,6,FALSE)</f>
        <v/>
      </c>
      <c r="Q12" s="180" t="str">
        <f>VLOOKUP($B12,'Standards Crosswalk'!$A:$H,7,FALSE)</f>
        <v/>
      </c>
      <c r="R12" s="180" t="str">
        <f>VLOOKUP($B12,'Standards Crosswalk'!$A:$H,8,FALSE)</f>
        <v>PE-2, PE-3, PE-5, PE-11, PE-13, PE-14, SA-9</v>
      </c>
      <c r="S12" s="180" t="str">
        <f>VLOOKUP($B12,'Standards Crosswalk'!$A:$I,9,FALSE)</f>
        <v/>
      </c>
      <c r="T12" s="9" t="s">
        <v>2748</v>
      </c>
      <c r="U12" s="185">
        <f>COUNTIFS(B:B,"PPPR*",J:J,"=1")</f>
        <v>18</v>
      </c>
      <c r="V12" s="185">
        <f>COUNTIF(B:B,"PPPR*")</f>
        <v>20</v>
      </c>
      <c r="W12" s="185">
        <f>SUMIFS(L:L,B:B, "PPPR*")</f>
        <v>375</v>
      </c>
      <c r="X12" s="185">
        <f>SUMIFS(K:K,B:B, "PPPR*")</f>
        <v>420</v>
      </c>
      <c r="Y12" s="186">
        <f t="shared" si="1"/>
        <v>0.8928571429</v>
      </c>
      <c r="Z12" s="164"/>
    </row>
    <row r="13" ht="13.5" customHeight="1">
      <c r="A13" s="164">
        <f t="shared" si="3"/>
        <v>11</v>
      </c>
      <c r="B13" s="171" t="s">
        <v>107</v>
      </c>
      <c r="C13" s="164" t="str">
        <f>VLOOKUP(B13,HECVAT!A:E,2,FALSE)</f>
        <v>Do you conform with a specific industry standard security framework? (e.g. NIST Cybersecurity Framework, ISO 27001, etc.)</v>
      </c>
      <c r="D13" s="164" t="str">
        <f>VLOOKUP(B13,HECVAT!A:E,4,FALSE)</f>
        <v>We are working to be compliant with ISO 27001 by end of Q3</v>
      </c>
      <c r="E13" s="174" t="b">
        <f>IF(Questions!$K13&gt;20,TRUE,FALSE)</f>
        <v>1</v>
      </c>
      <c r="F13" s="174" t="s">
        <v>17</v>
      </c>
      <c r="G13" s="171" t="s">
        <v>92</v>
      </c>
      <c r="H13" s="176">
        <v>1.0</v>
      </c>
      <c r="I13" s="164" t="str">
        <f>VLOOKUP(B13,HECVAT!A:E,3,FALSE)</f>
        <v>No</v>
      </c>
      <c r="J13" s="164">
        <f>IF(Questions!$G13=Questions!$I13,1,0)</f>
        <v>0</v>
      </c>
      <c r="K13" s="164">
        <f>IF(Questions!$H13=1,25,"")</f>
        <v>25</v>
      </c>
      <c r="L13" s="164">
        <f>IF(Questions!$H13=1,J13*K13,"")</f>
        <v>0</v>
      </c>
      <c r="M13" s="180" t="str">
        <f>VLOOKUP($B13,'Standards Crosswalk'!$A:$H,3,FALSE)</f>
        <v/>
      </c>
      <c r="N13" s="180" t="str">
        <f>VLOOKUP($B13,'Standards Crosswalk'!$A:$H,4,FALSE)</f>
        <v/>
      </c>
      <c r="O13" s="180" t="str">
        <f>VLOOKUP($B13,'Standards Crosswalk'!$A:$H,5,FALSE)</f>
        <v>18.1.1</v>
      </c>
      <c r="P13" s="180" t="str">
        <f>VLOOKUP($B13,'Standards Crosswalk'!$A:$H,6,FALSE)</f>
        <v/>
      </c>
      <c r="Q13" s="180" t="str">
        <f>VLOOKUP($B13,'Standards Crosswalk'!$A:$H,7,FALSE)</f>
        <v/>
      </c>
      <c r="R13" s="180" t="str">
        <f>VLOOKUP($B13,'Standards Crosswalk'!$A:$H,8,FALSE)</f>
        <v>SA-9</v>
      </c>
      <c r="S13" s="180" t="str">
        <f>VLOOKUP($B13,'Standards Crosswalk'!$A:$I,9,FALSE)</f>
        <v>12.1, Scope</v>
      </c>
      <c r="T13" s="9" t="s">
        <v>2749</v>
      </c>
      <c r="U13" s="185">
        <f>COUNTIFS(B:B,"SYST*",J:J,"=1")</f>
        <v>2</v>
      </c>
      <c r="V13" s="185">
        <f>COUNTIF(B:B,"SYST*")</f>
        <v>4</v>
      </c>
      <c r="W13" s="185">
        <f>SUMIFS(L:L,B:B, "SYST*")</f>
        <v>45</v>
      </c>
      <c r="X13" s="185">
        <f>SUMIFS(K:K,B:B, "SYST*")</f>
        <v>70</v>
      </c>
      <c r="Y13" s="186">
        <f t="shared" si="1"/>
        <v>0.6428571429</v>
      </c>
      <c r="Z13" s="164"/>
    </row>
    <row r="14" ht="13.5" customHeight="1">
      <c r="A14" s="164">
        <f t="shared" si="3"/>
        <v>12</v>
      </c>
      <c r="B14" s="171" t="s">
        <v>110</v>
      </c>
      <c r="C14" s="164" t="str">
        <f>VLOOKUP(B14,HECVAT!A:E,2,FALSE)</f>
        <v>Are you compliant with FISMA standards?</v>
      </c>
      <c r="D14" s="164" t="str">
        <f>VLOOKUP(B14,HECVAT!A:E,4,FALSE)</f>
        <v>No plans at this point</v>
      </c>
      <c r="E14" s="174" t="b">
        <f>IF(Questions!$K14&gt;20,TRUE,FALSE)</f>
        <v>0</v>
      </c>
      <c r="F14" s="174" t="s">
        <v>17</v>
      </c>
      <c r="G14" s="171" t="s">
        <v>92</v>
      </c>
      <c r="H14" s="176">
        <v>1.0</v>
      </c>
      <c r="I14" s="164" t="str">
        <f>VLOOKUP(B14,HECVAT!A:E,3,FALSE)</f>
        <v>No</v>
      </c>
      <c r="J14" s="164">
        <f>IF(Questions!$G14=Questions!$I14,1,0)</f>
        <v>0</v>
      </c>
      <c r="K14" s="164">
        <f>IF(Questions!$H14=1,15,"")</f>
        <v>15</v>
      </c>
      <c r="L14" s="164">
        <f>IF(Questions!$H14=1,J14*K14,"")</f>
        <v>0</v>
      </c>
      <c r="M14" s="180" t="str">
        <f>VLOOKUP($B14,'Standards Crosswalk'!$A:$H,3,FALSE)</f>
        <v/>
      </c>
      <c r="N14" s="180" t="str">
        <f>VLOOKUP($B14,'Standards Crosswalk'!$A:$H,4,FALSE)</f>
        <v/>
      </c>
      <c r="O14" s="180" t="str">
        <f>VLOOKUP($B14,'Standards Crosswalk'!$A:$H,5,FALSE)</f>
        <v>18.1.1</v>
      </c>
      <c r="P14" s="180" t="str">
        <f>VLOOKUP($B14,'Standards Crosswalk'!$A:$H,6,FALSE)</f>
        <v/>
      </c>
      <c r="Q14" s="180" t="str">
        <f>VLOOKUP($B14,'Standards Crosswalk'!$A:$H,7,FALSE)</f>
        <v/>
      </c>
      <c r="R14" s="180" t="str">
        <f>VLOOKUP($B14,'Standards Crosswalk'!$A:$H,8,FALSE)</f>
        <v>SA-9</v>
      </c>
      <c r="S14" s="180" t="str">
        <f>VLOOKUP($B14,'Standards Crosswalk'!$A:$I,9,FALSE)</f>
        <v/>
      </c>
      <c r="T14" s="210" t="s">
        <v>2750</v>
      </c>
      <c r="U14" s="206">
        <f>COUNTIFS(B:B,"VULN*",J:J,"=1")</f>
        <v>5</v>
      </c>
      <c r="V14" s="206">
        <f>COUNTIF(B:B,"VULN*")</f>
        <v>9</v>
      </c>
      <c r="W14" s="206">
        <f>SUMIFS(L:L,B:B, "VULN*")</f>
        <v>110</v>
      </c>
      <c r="X14" s="206">
        <f>SUMIFS(K:K,B:B, "VULN*")</f>
        <v>195</v>
      </c>
      <c r="Y14" s="207">
        <f t="shared" si="1"/>
        <v>0.5641025641</v>
      </c>
      <c r="Z14" s="164"/>
    </row>
    <row r="15" ht="13.5" customHeight="1">
      <c r="A15" s="164">
        <f t="shared" si="3"/>
        <v>13</v>
      </c>
      <c r="B15" s="171" t="s">
        <v>112</v>
      </c>
      <c r="C15" s="164" t="str">
        <f>VLOOKUP(B15,HECVAT!A:E,2,FALSE)</f>
        <v>Does your organization have a data privacy policy?</v>
      </c>
      <c r="D15" s="164" t="str">
        <f>VLOOKUP(B15,HECVAT!A:E,4,FALSE)</f>
        <v>Data privacy policy is outlined in agreement</v>
      </c>
      <c r="E15" s="174" t="b">
        <f>IF(Questions!$K15&gt;20,TRUE,FALSE)</f>
        <v>1</v>
      </c>
      <c r="F15" s="174" t="s">
        <v>17</v>
      </c>
      <c r="G15" s="171" t="s">
        <v>92</v>
      </c>
      <c r="H15" s="176">
        <v>1.0</v>
      </c>
      <c r="I15" s="164" t="str">
        <f>VLOOKUP(B15,HECVAT!A:E,3,FALSE)</f>
        <v>Yes</v>
      </c>
      <c r="J15" s="164">
        <f>IF(Questions!$G15=Questions!$I15,1,0)</f>
        <v>1</v>
      </c>
      <c r="K15" s="164">
        <f>IF(Questions!$H15=1,25,"")</f>
        <v>25</v>
      </c>
      <c r="L15" s="164">
        <f>IF(Questions!$H15=1,J15*K15,"")</f>
        <v>25</v>
      </c>
      <c r="M15" s="180" t="str">
        <f>VLOOKUP($B15,'Standards Crosswalk'!$A:$H,3,FALSE)</f>
        <v/>
      </c>
      <c r="N15" s="180" t="str">
        <f>VLOOKUP($B15,'Standards Crosswalk'!$A:$H,4,FALSE)</f>
        <v>§164.308(a)(1)(i)</v>
      </c>
      <c r="O15" s="180" t="str">
        <f>VLOOKUP($B15,'Standards Crosswalk'!$A:$H,5,FALSE)</f>
        <v>18.1.4</v>
      </c>
      <c r="P15" s="180" t="str">
        <f>VLOOKUP($B15,'Standards Crosswalk'!$A:$H,6,FALSE)</f>
        <v>ID.GV-3</v>
      </c>
      <c r="Q15" s="180" t="str">
        <f>VLOOKUP($B15,'Standards Crosswalk'!$A:$H,7,FALSE)</f>
        <v>ID.GV-3</v>
      </c>
      <c r="R15" s="180" t="str">
        <f>VLOOKUP($B15,'Standards Crosswalk'!$A:$H,8,FALSE)</f>
        <v>SA-9</v>
      </c>
      <c r="S15" s="180" t="str">
        <f>VLOOKUP($B15,'Standards Crosswalk'!$A:$I,9,FALSE)</f>
        <v/>
      </c>
      <c r="T15" s="164" t="str">
        <f>IF(I2="Yes","HIPAA","")</f>
        <v/>
      </c>
      <c r="U15" s="164" t="str">
        <f>IF(I2="Yes",(COUNTIFS(B:B,"HIPA*",J:J,"=1")),"")</f>
        <v/>
      </c>
      <c r="V15" s="164" t="str">
        <f>IF(I2="Yes",(COUNTIF(B:B,"HIPA*")),"")</f>
        <v/>
      </c>
      <c r="W15" s="164" t="str">
        <f>IF(I2="Yes",(SUMIFS(L:L,B:B, "HIPA*")),"")</f>
        <v/>
      </c>
      <c r="X15" s="164" t="str">
        <f>IF(I2="Yes",(SUMIFS(K:K,B:B, "HIPA*")),"")</f>
        <v/>
      </c>
      <c r="Y15" s="211" t="str">
        <f t="shared" ref="Y15:Y18" si="4">IF(I2="Yes",(W15/X15),"")</f>
        <v/>
      </c>
      <c r="Z15" s="164"/>
    </row>
    <row r="16" ht="28.5" customHeight="1">
      <c r="A16" s="164">
        <f t="shared" si="3"/>
        <v>14</v>
      </c>
      <c r="B16" s="171" t="s">
        <v>137</v>
      </c>
      <c r="C16" s="164" t="str">
        <f>VLOOKUP(B16,HECVAT!A:E,2,FALSE)</f>
        <v>Describe how you perform security assessments of third party companies with which you share data (i.e. hosting providers, cloud services, PaaS, IaaS, SaaS, etc.). Provide a summary of your practices that assures that the third party will be subject to the appropriate standards regarding security, service recoverability, and confidentiality.</v>
      </c>
      <c r="D16" s="164" t="str">
        <f>VLOOKUP(B16,HECVAT!A:E,4,FALSE)</f>
        <v/>
      </c>
      <c r="E16" s="174" t="b">
        <f>IF(Questions!$K16&gt;20,TRUE,FALSE)</f>
        <v>1</v>
      </c>
      <c r="F16" s="204" t="s">
        <v>2751</v>
      </c>
      <c r="G16" s="171" t="s">
        <v>92</v>
      </c>
      <c r="H16" s="176">
        <v>1.0</v>
      </c>
      <c r="I16" s="164" t="str">
        <f>VLOOKUP(B16,HECVAT!A:E,3,FALSE)</f>
        <v/>
      </c>
      <c r="J16" s="164">
        <f>IF(VLOOKUP(Questions!$B16,'Analyst Report'!$A$38:$G$85,7,FALSE)="Yes",1,0)</f>
        <v>0</v>
      </c>
      <c r="K16" s="164">
        <f>IF(Questions!$H16=1,25,"")</f>
        <v>25</v>
      </c>
      <c r="L16" s="164">
        <f>IF(Questions!$H16=1,J16*K16,"")</f>
        <v>0</v>
      </c>
      <c r="M16" s="180" t="str">
        <f>VLOOKUP($B16,'Standards Crosswalk'!$A:$H,3,FALSE)</f>
        <v>CSC 13</v>
      </c>
      <c r="N16" s="180" t="str">
        <f>VLOOKUP($B16,'Standards Crosswalk'!$A:$H,4,FALSE)</f>
        <v/>
      </c>
      <c r="O16" s="180" t="str">
        <f>VLOOKUP($B16,'Standards Crosswalk'!$A:$H,5,FALSE)</f>
        <v>15.1.3</v>
      </c>
      <c r="P16" s="180" t="str">
        <f>VLOOKUP($B16,'Standards Crosswalk'!$A:$H,6,FALSE)</f>
        <v>ID.AM-6, PR-AT-3</v>
      </c>
      <c r="Q16" s="180" t="str">
        <f>VLOOKUP($B16,'Standards Crosswalk'!$A:$H,7,FALSE)</f>
        <v>3.8.2</v>
      </c>
      <c r="R16" s="180" t="str">
        <f>VLOOKUP($B16,'Standards Crosswalk'!$A:$H,8,FALSE)</f>
        <v>MP-2, RA-3</v>
      </c>
      <c r="S16" s="180">
        <f>VLOOKUP($B16,'Standards Crosswalk'!$A:$I,9,FALSE)</f>
        <v>12.8</v>
      </c>
      <c r="T16" s="164" t="str">
        <f>IF(I3="Yes","Mobile App","")</f>
        <v/>
      </c>
      <c r="U16" s="164" t="str">
        <f>IF(I3="Yes",(COUNTIFS(B:B,"MAPP*",J:J,"=1")),"")</f>
        <v/>
      </c>
      <c r="V16" s="164" t="str">
        <f>IF(I3="Yes",(COUNTIF(B:B,"MAPP*")),"")</f>
        <v/>
      </c>
      <c r="W16" s="164" t="str">
        <f>IF(I3="Yes",(SUMIFS(L:L,B:B, "MAPP*")),"")</f>
        <v/>
      </c>
      <c r="X16" s="164" t="str">
        <f>IF(I3="Yes",(SUMIFS(K:K,B:B, "MAPP*")),"")</f>
        <v/>
      </c>
      <c r="Y16" s="211" t="str">
        <f t="shared" si="4"/>
        <v/>
      </c>
      <c r="Z16" s="164"/>
    </row>
    <row r="17" ht="28.5" customHeight="1">
      <c r="A17" s="164">
        <f t="shared" si="3"/>
        <v>15</v>
      </c>
      <c r="B17" s="171" t="s">
        <v>140</v>
      </c>
      <c r="C17" s="164" t="str">
        <f>VLOOKUP(B17,HECVAT!A:E,2,FALSE)</f>
        <v>Provide a brief description for why each of these third parties will have access to institution data.</v>
      </c>
      <c r="D17" s="164" t="str">
        <f>VLOOKUP(B17,HECVAT!A:E,4,FALSE)</f>
        <v/>
      </c>
      <c r="E17" s="174" t="b">
        <f>IF(Questions!$K17&gt;20,TRUE,FALSE)</f>
        <v>1</v>
      </c>
      <c r="F17" s="204" t="s">
        <v>2751</v>
      </c>
      <c r="G17" s="171" t="s">
        <v>92</v>
      </c>
      <c r="H17" s="176">
        <v>1.0</v>
      </c>
      <c r="I17" s="164" t="str">
        <f>VLOOKUP(B17,HECVAT!A:E,3,FALSE)</f>
        <v/>
      </c>
      <c r="J17" s="164">
        <f>IF(VLOOKUP(Questions!$B17,'Analyst Report'!$A$38:$G$85,7,FALSE)="Yes",1,0)</f>
        <v>0</v>
      </c>
      <c r="K17" s="164">
        <f>IF(Questions!$H17=1,25,"")</f>
        <v>25</v>
      </c>
      <c r="L17" s="164">
        <f>IF(Questions!$H17=1,J17*K17,"")</f>
        <v>0</v>
      </c>
      <c r="M17" s="180" t="str">
        <f>VLOOKUP($B17,'Standards Crosswalk'!$A:$H,3,FALSE)</f>
        <v>CSC 13</v>
      </c>
      <c r="N17" s="180" t="str">
        <f>VLOOKUP($B17,'Standards Crosswalk'!$A:$H,4,FALSE)</f>
        <v/>
      </c>
      <c r="O17" s="180" t="str">
        <f>VLOOKUP($B17,'Standards Crosswalk'!$A:$H,5,FALSE)</f>
        <v>15.1.3</v>
      </c>
      <c r="P17" s="180" t="str">
        <f>VLOOKUP($B17,'Standards Crosswalk'!$A:$H,6,FALSE)</f>
        <v>ID.AM-6, PR-AT-3</v>
      </c>
      <c r="Q17" s="180" t="str">
        <f>VLOOKUP($B17,'Standards Crosswalk'!$A:$H,7,FALSE)</f>
        <v>3.8.2</v>
      </c>
      <c r="R17" s="180" t="str">
        <f>VLOOKUP($B17,'Standards Crosswalk'!$A:$H,8,FALSE)</f>
        <v/>
      </c>
      <c r="S17" s="180">
        <f>VLOOKUP($B17,'Standards Crosswalk'!$A:$I,9,FALSE)</f>
        <v>12.8</v>
      </c>
      <c r="T17" s="164" t="str">
        <f>IF(I4="Yes","Third Parties","")</f>
        <v/>
      </c>
      <c r="U17" s="164" t="str">
        <f>IF(I4="Yes",(COUNTIFS(B:B,"THRD*",J:J,"=1")),"")</f>
        <v/>
      </c>
      <c r="V17" s="164" t="str">
        <f>IF(I4="Yes",(COUNTIF(B:B,"THRD*")),"")</f>
        <v/>
      </c>
      <c r="W17" s="164" t="str">
        <f>IF(I4="Yes",(SUMIFS(L:L,B:B, "THRD*")),"")</f>
        <v/>
      </c>
      <c r="X17" s="164" t="str">
        <f>IF(I4="Yes",(SUMIFS(K:K,B:B, "THRD*")),"")</f>
        <v/>
      </c>
      <c r="Y17" s="211" t="str">
        <f t="shared" si="4"/>
        <v/>
      </c>
      <c r="Z17" s="164"/>
    </row>
    <row r="18" ht="15.75" customHeight="1">
      <c r="A18" s="164">
        <f t="shared" si="3"/>
        <v>16</v>
      </c>
      <c r="B18" s="171" t="s">
        <v>143</v>
      </c>
      <c r="C18" s="164" t="str">
        <f>VLOOKUP(B18,HECVAT!A:E,2,FALSE)</f>
        <v>What legal agreements (i.e. contracts) do you have in place with these third parties that address liability in the event of a data breach?</v>
      </c>
      <c r="D18" s="164" t="str">
        <f>VLOOKUP(B18,HECVAT!A:E,4,FALSE)</f>
        <v/>
      </c>
      <c r="E18" s="174" t="b">
        <f>IF(Questions!$K18&gt;20,TRUE,FALSE)</f>
        <v>1</v>
      </c>
      <c r="F18" s="204" t="s">
        <v>2751</v>
      </c>
      <c r="G18" s="171" t="s">
        <v>92</v>
      </c>
      <c r="H18" s="176">
        <v>1.0</v>
      </c>
      <c r="I18" s="164" t="str">
        <f>VLOOKUP(B18,HECVAT!A:E,3,FALSE)</f>
        <v/>
      </c>
      <c r="J18" s="164">
        <f>IF(VLOOKUP(Questions!$B18,'Analyst Report'!$A$38:$G$85,7,FALSE)="Yes",1,0)</f>
        <v>0</v>
      </c>
      <c r="K18" s="164">
        <f>IF(Questions!$H18=1,25,"")</f>
        <v>25</v>
      </c>
      <c r="L18" s="164">
        <f>IF(Questions!$H18=1,J18*K18,"")</f>
        <v>0</v>
      </c>
      <c r="M18" s="180" t="str">
        <f>VLOOKUP($B18,'Standards Crosswalk'!$A:$H,3,FALSE)</f>
        <v>CSC 13</v>
      </c>
      <c r="N18" s="180" t="str">
        <f>VLOOKUP($B18,'Standards Crosswalk'!$A:$H,4,FALSE)</f>
        <v/>
      </c>
      <c r="O18" s="180" t="str">
        <f>VLOOKUP($B18,'Standards Crosswalk'!$A:$H,5,FALSE)</f>
        <v>15.1.3</v>
      </c>
      <c r="P18" s="180" t="str">
        <f>VLOOKUP($B18,'Standards Crosswalk'!$A:$H,6,FALSE)</f>
        <v>ID.GV-3</v>
      </c>
      <c r="Q18" s="180" t="str">
        <f>VLOOKUP($B18,'Standards Crosswalk'!$A:$H,7,FALSE)</f>
        <v/>
      </c>
      <c r="R18" s="180" t="str">
        <f>VLOOKUP($B18,'Standards Crosswalk'!$A:$H,8,FALSE)</f>
        <v>PS-3</v>
      </c>
      <c r="S18" s="180">
        <f>VLOOKUP($B18,'Standards Crosswalk'!$A:$I,9,FALSE)</f>
        <v>12.8</v>
      </c>
      <c r="T18" s="164" t="str">
        <f>IF(I5="Yes","Business Continuity Plan","")</f>
        <v>Business Continuity Plan</v>
      </c>
      <c r="U18" s="164">
        <f>IF(I5="Yes",(COUNTIFS(B:B,"BCPL*",J:J,"=1")),"")</f>
        <v>9</v>
      </c>
      <c r="V18" s="164">
        <f>IF(I5="Yes",(COUNTIF(B:B,"BCPL*")),"")</f>
        <v>12</v>
      </c>
      <c r="W18" s="164">
        <f>IF(I5="Yes",(SUMIFS(L:L,B:B, "BCPL*")),"")</f>
        <v>165</v>
      </c>
      <c r="X18" s="164">
        <f>IF(I5="Yes",(SUMIFS(K:K,B:B, "BCPL*")),"")</f>
        <v>250</v>
      </c>
      <c r="Y18" s="211">
        <f t="shared" si="4"/>
        <v>0.66</v>
      </c>
      <c r="Z18" s="164"/>
    </row>
    <row r="19" ht="13.5" customHeight="1">
      <c r="A19" s="164">
        <f t="shared" si="3"/>
        <v>17</v>
      </c>
      <c r="B19" s="171" t="s">
        <v>146</v>
      </c>
      <c r="C19" s="164" t="str">
        <f>VLOOKUP(B19,HECVAT!A:E,2,FALSE)</f>
        <v>Describe or provide references to your third party management strategy or provide additional information that may help analysts better understand your environment and how it relates to third-party solutions.</v>
      </c>
      <c r="D19" s="164" t="str">
        <f>VLOOKUP(B19,HECVAT!A:E,4,FALSE)</f>
        <v/>
      </c>
      <c r="E19" s="174" t="b">
        <f>IF(Questions!$K19&gt;20,TRUE,FALSE)</f>
        <v>1</v>
      </c>
      <c r="F19" s="204" t="s">
        <v>2751</v>
      </c>
      <c r="G19" s="171" t="s">
        <v>92</v>
      </c>
      <c r="H19" s="176">
        <v>1.0</v>
      </c>
      <c r="I19" s="164" t="str">
        <f>VLOOKUP(B19,HECVAT!A:E,3,FALSE)</f>
        <v/>
      </c>
      <c r="J19" s="164">
        <f>IF(VLOOKUP(Questions!$B19,'Analyst Report'!$A$38:$G$85,7,FALSE)="Yes",1,0)</f>
        <v>0</v>
      </c>
      <c r="K19" s="164">
        <f>IF(Questions!$H19=1,25,"")</f>
        <v>25</v>
      </c>
      <c r="L19" s="164">
        <f>IF(Questions!$H19=1,J19*K19,"")</f>
        <v>0</v>
      </c>
      <c r="M19" s="180" t="str">
        <f>VLOOKUP($B19,'Standards Crosswalk'!$A:$H,3,FALSE)</f>
        <v/>
      </c>
      <c r="N19" s="180" t="str">
        <f>VLOOKUP($B19,'Standards Crosswalk'!$A:$H,4,FALSE)</f>
        <v/>
      </c>
      <c r="O19" s="180" t="str">
        <f>VLOOKUP($B19,'Standards Crosswalk'!$A:$H,5,FALSE)</f>
        <v>15.1.3</v>
      </c>
      <c r="P19" s="180" t="str">
        <f>VLOOKUP($B19,'Standards Crosswalk'!$A:$H,6,FALSE)</f>
        <v>ID.AM-6, PR.AT-3</v>
      </c>
      <c r="Q19" s="180" t="str">
        <f>VLOOKUP($B19,'Standards Crosswalk'!$A:$H,7,FALSE)</f>
        <v/>
      </c>
      <c r="R19" s="180" t="str">
        <f>VLOOKUP($B19,'Standards Crosswalk'!$A:$H,8,FALSE)</f>
        <v>PS-5</v>
      </c>
      <c r="S19" s="180">
        <f>VLOOKUP($B19,'Standards Crosswalk'!$A:$I,9,FALSE)</f>
        <v>12.8</v>
      </c>
      <c r="T19" s="164" t="str">
        <f>IF(I7="Yes","Disaster Recovery Plan","")</f>
        <v>Disaster Recovery Plan</v>
      </c>
      <c r="U19" s="164">
        <f>IF(I7="Yes",(COUNTIFS(B:B,"DRPL*",J:J,"=1")),"")</f>
        <v>7</v>
      </c>
      <c r="V19" s="164">
        <f>IF(I7="Yes",(COUNTIF(B:B,"DRPL*")),"")</f>
        <v>13</v>
      </c>
      <c r="W19" s="164" t="str">
        <f>IF(I7="Yes",(SUMIFS(L:L,B:B, "DRPL*")),"")</f>
        <v>#N/A</v>
      </c>
      <c r="X19" s="164">
        <f>IF(I7="Yes",(SUMIFS(K:K,B:B, "DRPL*")),"")</f>
        <v>270</v>
      </c>
      <c r="Y19" s="211" t="str">
        <f t="shared" ref="Y19:Y21" si="5">IF(I7="Yes",(W19/X19),"")</f>
        <v>#N/A</v>
      </c>
      <c r="Z19" s="164"/>
    </row>
    <row r="20" ht="13.5" customHeight="1">
      <c r="A20" s="164">
        <f t="shared" si="3"/>
        <v>18</v>
      </c>
      <c r="B20" s="171" t="s">
        <v>149</v>
      </c>
      <c r="C20" s="164" t="str">
        <f>VLOOKUP(B20,HECVAT!A:E,2,FALSE)</f>
        <v>Will the consulting take place on-premises?</v>
      </c>
      <c r="D20" s="212" t="str">
        <f>VLOOKUP(B20,HECVAT!A:E,4,FALSE)</f>
        <v/>
      </c>
      <c r="E20" s="174" t="b">
        <f>IF(Questions!$K20&gt;20,TRUE,FALSE)</f>
        <v>0</v>
      </c>
      <c r="F20" s="174" t="s">
        <v>2752</v>
      </c>
      <c r="G20" s="171" t="s">
        <v>92</v>
      </c>
      <c r="H20" s="176">
        <v>1.0</v>
      </c>
      <c r="I20" s="164" t="str">
        <f>VLOOKUP(B20,HECVAT!A:E,3,FALSE)</f>
        <v/>
      </c>
      <c r="J20" s="164">
        <f>IF(Questions!$G20=Questions!$I20,1,0)</f>
        <v>0</v>
      </c>
      <c r="K20" s="164">
        <f>IF(Questions!$H20=1,20,"")</f>
        <v>20</v>
      </c>
      <c r="L20" s="164">
        <f>IF(Questions!$H20=1,J20*K20,"")</f>
        <v>0</v>
      </c>
      <c r="M20" s="180" t="str">
        <f>VLOOKUP($B20,'Standards Crosswalk'!$A:$H,3,FALSE)</f>
        <v/>
      </c>
      <c r="N20" s="180" t="str">
        <f>VLOOKUP($B20,'Standards Crosswalk'!$A:$H,4,FALSE)</f>
        <v/>
      </c>
      <c r="O20" s="180" t="str">
        <f>VLOOKUP($B20,'Standards Crosswalk'!$A:$H,5,FALSE)</f>
        <v>15.2.1</v>
      </c>
      <c r="P20" s="180" t="str">
        <f>VLOOKUP($B20,'Standards Crosswalk'!$A:$H,6,FALSE)</f>
        <v>ID.AM-6, PR.AT-3</v>
      </c>
      <c r="Q20" s="180" t="str">
        <f>VLOOKUP($B20,'Standards Crosswalk'!$A:$H,7,FALSE)</f>
        <v/>
      </c>
      <c r="R20" s="180" t="str">
        <f>VLOOKUP($B20,'Standards Crosswalk'!$A:$H,8,FALSE)</f>
        <v/>
      </c>
      <c r="S20" s="180" t="str">
        <f>VLOOKUP($B20,'Standards Crosswalk'!$A:$I,9,FALSE)</f>
        <v/>
      </c>
      <c r="T20" s="164" t="str">
        <f>IF(I8="Yes","PCI DSS","")</f>
        <v/>
      </c>
      <c r="U20" s="164" t="str">
        <f>IF(I8="Yes",(COUNTIFS(B:B,"PCID*",J:J,"=1")),"")</f>
        <v/>
      </c>
      <c r="V20" s="164" t="str">
        <f>IF(I8="Yes",(COUNTIF(B:B,"PCID*")),"")</f>
        <v/>
      </c>
      <c r="W20" s="164" t="str">
        <f>IF(I8="Yes",(SUMIFS(L:L,B:B, "PCID*")),"")</f>
        <v/>
      </c>
      <c r="X20" s="164" t="str">
        <f>IF(I8="Yes",(SUMIFS(K:K,B:B, "PCID*")),"")</f>
        <v/>
      </c>
      <c r="Y20" s="211" t="str">
        <f t="shared" si="5"/>
        <v/>
      </c>
      <c r="Z20" s="164"/>
    </row>
    <row r="21" ht="13.5" customHeight="1">
      <c r="A21" s="164">
        <f t="shared" si="3"/>
        <v>19</v>
      </c>
      <c r="B21" s="171" t="s">
        <v>158</v>
      </c>
      <c r="C21" s="164" t="str">
        <f>VLOOKUP(B21,HECVAT!A:E,2,FALSE)</f>
        <v>Will the consultant require access to Institution's network resources?</v>
      </c>
      <c r="D21" s="212" t="str">
        <f>VLOOKUP(B21,HECVAT!A:E,4,FALSE)</f>
        <v/>
      </c>
      <c r="E21" s="174" t="b">
        <f>IF(Questions!$K21&gt;20,TRUE,FALSE)</f>
        <v>0</v>
      </c>
      <c r="F21" s="174" t="s">
        <v>2752</v>
      </c>
      <c r="G21" s="171" t="s">
        <v>85</v>
      </c>
      <c r="H21" s="176">
        <v>1.0</v>
      </c>
      <c r="I21" s="164" t="str">
        <f>VLOOKUP(B21,HECVAT!A:E,3,FALSE)</f>
        <v/>
      </c>
      <c r="J21" s="164">
        <f>IF(Questions!$G21=Questions!$I21,1,0)</f>
        <v>0</v>
      </c>
      <c r="K21" s="164">
        <f>IF(Questions!$H21=1,20,"")</f>
        <v>20</v>
      </c>
      <c r="L21" s="164">
        <f>IF(Questions!$H21=1,J21*K21,"")</f>
        <v>0</v>
      </c>
      <c r="M21" s="180" t="str">
        <f>VLOOKUP($B21,'Standards Crosswalk'!$A:$H,3,FALSE)</f>
        <v>CSC 14</v>
      </c>
      <c r="N21" s="180" t="str">
        <f>VLOOKUP($B21,'Standards Crosswalk'!$A:$H,4,FALSE)</f>
        <v/>
      </c>
      <c r="O21" s="180" t="str">
        <f>VLOOKUP($B21,'Standards Crosswalk'!$A:$H,5,FALSE)</f>
        <v>9.1.2</v>
      </c>
      <c r="P21" s="180" t="str">
        <f>VLOOKUP($B21,'Standards Crosswalk'!$A:$H,6,FALSE)</f>
        <v>ID.AM-6, PR.AT-3</v>
      </c>
      <c r="Q21" s="180" t="str">
        <f>VLOOKUP($B21,'Standards Crosswalk'!$A:$H,7,FALSE)</f>
        <v>3.1.2, 3.1.3</v>
      </c>
      <c r="R21" s="180" t="str">
        <f>VLOOKUP($B21,'Standards Crosswalk'!$A:$H,8,FALSE)</f>
        <v>AC-4</v>
      </c>
      <c r="S21" s="180" t="str">
        <f>VLOOKUP($B21,'Standards Crosswalk'!$A:$I,9,FALSE)</f>
        <v/>
      </c>
      <c r="T21" s="164" t="str">
        <f>IF(I9="Yes","Consulting Only","")</f>
        <v/>
      </c>
      <c r="U21" s="164" t="str">
        <f>IF(I9="Yes",(COUNTIFS(B:B,"CONS*",J:J,"=1")),"")</f>
        <v/>
      </c>
      <c r="V21" s="164" t="str">
        <f>IF(I9="Yes",(COUNTIF(B:B,"CONS*")),"")</f>
        <v/>
      </c>
      <c r="W21" s="164" t="str">
        <f>IF(I9="Yes",(SUMIFS(L:L,B:B, "CONS*")),"")</f>
        <v/>
      </c>
      <c r="X21" s="164" t="str">
        <f>IF(I9="Yes",(SUMIFS(K:K,B:B, "CONS*")),"")</f>
        <v/>
      </c>
      <c r="Y21" s="211" t="str">
        <f t="shared" si="5"/>
        <v/>
      </c>
      <c r="Z21" s="164"/>
    </row>
    <row r="22" ht="13.5" customHeight="1">
      <c r="A22" s="164">
        <f t="shared" si="3"/>
        <v>20</v>
      </c>
      <c r="B22" s="171" t="s">
        <v>161</v>
      </c>
      <c r="C22" s="164" t="str">
        <f>VLOOKUP(B22,HECVAT!A:E,2,FALSE)</f>
        <v>Will the consultant require access to hardware in the Institution's data centers?</v>
      </c>
      <c r="D22" s="212" t="str">
        <f>VLOOKUP(B22,HECVAT!A:E,4,FALSE)</f>
        <v/>
      </c>
      <c r="E22" s="174" t="b">
        <f>IF(Questions!$K22&gt;20,TRUE,FALSE)</f>
        <v>1</v>
      </c>
      <c r="F22" s="174" t="s">
        <v>2752</v>
      </c>
      <c r="G22" s="171" t="s">
        <v>85</v>
      </c>
      <c r="H22" s="176">
        <v>1.0</v>
      </c>
      <c r="I22" s="164" t="str">
        <f>VLOOKUP(B22,HECVAT!A:E,3,FALSE)</f>
        <v/>
      </c>
      <c r="J22" s="164">
        <f>IF(Questions!$G22=Questions!$I22,1,0)</f>
        <v>0</v>
      </c>
      <c r="K22" s="164">
        <f>IF(Questions!$H22=1,25,"")</f>
        <v>25</v>
      </c>
      <c r="L22" s="164">
        <f>IF(Questions!$H22=1,J22*K22,"")</f>
        <v>0</v>
      </c>
      <c r="M22" s="180" t="str">
        <f>VLOOKUP($B22,'Standards Crosswalk'!$A:$H,3,FALSE)</f>
        <v>CSC 14</v>
      </c>
      <c r="N22" s="180" t="str">
        <f>VLOOKUP($B22,'Standards Crosswalk'!$A:$H,4,FALSE)</f>
        <v/>
      </c>
      <c r="O22" s="180" t="str">
        <f>VLOOKUP($B22,'Standards Crosswalk'!$A:$H,5,FALSE)</f>
        <v>9.2.6</v>
      </c>
      <c r="P22" s="180" t="str">
        <f>VLOOKUP($B22,'Standards Crosswalk'!$A:$H,6,FALSE)</f>
        <v>ID.AM-6, PR.AT-3</v>
      </c>
      <c r="Q22" s="180" t="str">
        <f>VLOOKUP($B22,'Standards Crosswalk'!$A:$H,7,FALSE)</f>
        <v>3.1.2</v>
      </c>
      <c r="R22" s="180" t="str">
        <f>VLOOKUP($B22,'Standards Crosswalk'!$A:$H,8,FALSE)</f>
        <v/>
      </c>
      <c r="S22" s="180" t="str">
        <f>VLOOKUP($B22,'Standards Crosswalk'!$A:$I,9,FALSE)</f>
        <v/>
      </c>
      <c r="T22" s="164"/>
      <c r="U22" s="164"/>
      <c r="V22" s="164"/>
      <c r="W22" s="164" t="s">
        <v>2753</v>
      </c>
      <c r="X22" s="164"/>
      <c r="Y22" s="164" t="s">
        <v>2754</v>
      </c>
      <c r="Z22" s="164"/>
    </row>
    <row r="23" ht="13.5" customHeight="1">
      <c r="A23" s="164">
        <f t="shared" si="3"/>
        <v>21</v>
      </c>
      <c r="B23" s="171" t="s">
        <v>167</v>
      </c>
      <c r="C23" s="164" t="str">
        <f>VLOOKUP(B23,HECVAT!A:E,2,FALSE)</f>
        <v>Will the consultant require an account within the Institution's domain (@*.edu)?</v>
      </c>
      <c r="D23" s="212" t="str">
        <f>VLOOKUP(B23,HECVAT!A:E,4,FALSE)</f>
        <v/>
      </c>
      <c r="E23" s="174" t="b">
        <f>IF(Questions!$K23&gt;20,TRUE,FALSE)</f>
        <v>0</v>
      </c>
      <c r="F23" s="174" t="s">
        <v>2752</v>
      </c>
      <c r="G23" s="171" t="s">
        <v>85</v>
      </c>
      <c r="H23" s="176">
        <v>1.0</v>
      </c>
      <c r="I23" s="164" t="str">
        <f>VLOOKUP(B23,HECVAT!A:E,3,FALSE)</f>
        <v/>
      </c>
      <c r="J23" s="164">
        <f>IF(Questions!$G23=Questions!$I23,1,0)</f>
        <v>0</v>
      </c>
      <c r="K23" s="164">
        <f>IF(Questions!$H23=1,20,"")</f>
        <v>20</v>
      </c>
      <c r="L23" s="164">
        <f>IF(Questions!$H23=1,J23*K23,"")</f>
        <v>0</v>
      </c>
      <c r="M23" s="180" t="str">
        <f>VLOOKUP($B23,'Standards Crosswalk'!$A:$H,3,FALSE)</f>
        <v>CSC 14</v>
      </c>
      <c r="N23" s="180" t="str">
        <f>VLOOKUP($B23,'Standards Crosswalk'!$A:$H,4,FALSE)</f>
        <v/>
      </c>
      <c r="O23" s="180" t="str">
        <f>VLOOKUP($B23,'Standards Crosswalk'!$A:$H,5,FALSE)</f>
        <v/>
      </c>
      <c r="P23" s="180" t="str">
        <f>VLOOKUP($B23,'Standards Crosswalk'!$A:$H,6,FALSE)</f>
        <v>ID.AM-6, PR.AT-3</v>
      </c>
      <c r="Q23" s="180" t="str">
        <f>VLOOKUP($B23,'Standards Crosswalk'!$A:$H,7,FALSE)</f>
        <v/>
      </c>
      <c r="R23" s="180" t="str">
        <f>VLOOKUP($B23,'Standards Crosswalk'!$A:$H,8,FALSE)</f>
        <v/>
      </c>
      <c r="S23" s="180" t="str">
        <f>VLOOKUP($B23,'Standards Crosswalk'!$A:$I,9,FALSE)</f>
        <v/>
      </c>
      <c r="T23" s="185"/>
      <c r="U23" s="185">
        <f t="shared" ref="U23:V23" si="6">SUM(U7:U14)</f>
        <v>66</v>
      </c>
      <c r="V23" s="185">
        <f t="shared" si="6"/>
        <v>97</v>
      </c>
      <c r="W23" s="186" t="str">
        <f>AVERAGE(Y2:Y21)</f>
        <v>#N/A</v>
      </c>
      <c r="X23" s="185" t="str">
        <f>IF(W23&gt;=0.9,"A",IF(W23&gt;=0.8,"B",IF(W23&gt;=0.7,"C",IF(W23&gt;=0.6,"D","F"))))</f>
        <v>#N/A</v>
      </c>
      <c r="Y23" s="185" t="str">
        <f>SUM(W2:W21)</f>
        <v>#N/A</v>
      </c>
      <c r="Z23" s="164"/>
    </row>
    <row r="24" ht="13.5" customHeight="1">
      <c r="A24" s="164">
        <f t="shared" si="3"/>
        <v>22</v>
      </c>
      <c r="B24" s="171" t="s">
        <v>171</v>
      </c>
      <c r="C24" s="164" t="str">
        <f>VLOOKUP(B24,HECVAT!A:E,2,FALSE)</f>
        <v>Has the consultant received training on [sensitive, HIPAA, PCI, etc.] data handling?</v>
      </c>
      <c r="D24" s="212" t="str">
        <f>VLOOKUP(B24,HECVAT!A:E,4,FALSE)</f>
        <v/>
      </c>
      <c r="E24" s="174" t="b">
        <f>IF(Questions!$K24&gt;20,TRUE,FALSE)</f>
        <v>0</v>
      </c>
      <c r="F24" s="174" t="s">
        <v>2752</v>
      </c>
      <c r="G24" s="171" t="s">
        <v>92</v>
      </c>
      <c r="H24" s="176">
        <v>1.0</v>
      </c>
      <c r="I24" s="164" t="str">
        <f>VLOOKUP(B24,HECVAT!A:E,3,FALSE)</f>
        <v/>
      </c>
      <c r="J24" s="164">
        <f>IF(Questions!$G24=Questions!$I24,1,0)</f>
        <v>0</v>
      </c>
      <c r="K24" s="164">
        <f>IF(Questions!$H24=1,20,"")</f>
        <v>20</v>
      </c>
      <c r="L24" s="164">
        <f>IF(Questions!$H24=1,J24*K24,"")</f>
        <v>0</v>
      </c>
      <c r="M24" s="180" t="str">
        <f>VLOOKUP($B24,'Standards Crosswalk'!$A:$H,3,FALSE)</f>
        <v>CSC 13</v>
      </c>
      <c r="N24" s="180" t="str">
        <f>VLOOKUP($B24,'Standards Crosswalk'!$A:$H,4,FALSE)</f>
        <v/>
      </c>
      <c r="O24" s="180" t="str">
        <f>VLOOKUP($B24,'Standards Crosswalk'!$A:$H,5,FALSE)</f>
        <v>18.1.1</v>
      </c>
      <c r="P24" s="180" t="str">
        <f>VLOOKUP($B24,'Standards Crosswalk'!$A:$H,6,FALSE)</f>
        <v>ID.AM-6, PR.AT-3</v>
      </c>
      <c r="Q24" s="180" t="str">
        <f>VLOOKUP($B24,'Standards Crosswalk'!$A:$H,7,FALSE)</f>
        <v/>
      </c>
      <c r="R24" s="180" t="str">
        <f>VLOOKUP($B24,'Standards Crosswalk'!$A:$H,8,FALSE)</f>
        <v/>
      </c>
      <c r="S24" s="180" t="str">
        <f>VLOOKUP($B24,'Standards Crosswalk'!$A:$I,9,FALSE)</f>
        <v/>
      </c>
      <c r="T24" s="164"/>
      <c r="U24" s="164"/>
      <c r="V24" s="164"/>
      <c r="W24" s="164"/>
      <c r="X24" s="164"/>
      <c r="Y24" s="164"/>
      <c r="Z24" s="164"/>
    </row>
    <row r="25" ht="13.5" customHeight="1">
      <c r="A25" s="164">
        <f t="shared" si="3"/>
        <v>23</v>
      </c>
      <c r="B25" s="171" t="s">
        <v>178</v>
      </c>
      <c r="C25" s="164" t="str">
        <f>VLOOKUP(B25,HECVAT!A:E,2,FALSE)</f>
        <v>Will any data be transferred to the consultant's possession?</v>
      </c>
      <c r="D25" s="212" t="str">
        <f>VLOOKUP(B25,HECVAT!A:E,4,FALSE)</f>
        <v/>
      </c>
      <c r="E25" s="174" t="b">
        <f>IF(Questions!$K25&gt;20,TRUE,FALSE)</f>
        <v>1</v>
      </c>
      <c r="F25" s="174" t="s">
        <v>2752</v>
      </c>
      <c r="G25" s="171" t="s">
        <v>85</v>
      </c>
      <c r="H25" s="176">
        <v>1.0</v>
      </c>
      <c r="I25" s="164" t="str">
        <f>VLOOKUP(B25,HECVAT!A:E,3,FALSE)</f>
        <v/>
      </c>
      <c r="J25" s="164">
        <f>IF(Questions!$G25=Questions!$I25,1,0)</f>
        <v>0</v>
      </c>
      <c r="K25" s="164">
        <f>IF(Questions!$H25=1,25,"")</f>
        <v>25</v>
      </c>
      <c r="L25" s="164">
        <f>IF(Questions!$H25=1,J25*K25,"")</f>
        <v>0</v>
      </c>
      <c r="M25" s="180" t="str">
        <f>VLOOKUP($B25,'Standards Crosswalk'!$A:$H,3,FALSE)</f>
        <v>CSC 13</v>
      </c>
      <c r="N25" s="180" t="str">
        <f>VLOOKUP($B25,'Standards Crosswalk'!$A:$H,4,FALSE)</f>
        <v/>
      </c>
      <c r="O25" s="180" t="str">
        <f>VLOOKUP($B25,'Standards Crosswalk'!$A:$H,5,FALSE)</f>
        <v>9</v>
      </c>
      <c r="P25" s="180" t="str">
        <f>VLOOKUP($B25,'Standards Crosswalk'!$A:$H,6,FALSE)</f>
        <v>ID.AM-6, PR.AT-3</v>
      </c>
      <c r="Q25" s="180" t="str">
        <f>VLOOKUP($B25,'Standards Crosswalk'!$A:$H,7,FALSE)</f>
        <v>3.8.2</v>
      </c>
      <c r="R25" s="180" t="str">
        <f>VLOOKUP($B25,'Standards Crosswalk'!$A:$H,8,FALSE)</f>
        <v>MP-2</v>
      </c>
      <c r="S25" s="180" t="str">
        <f>VLOOKUP($B25,'Standards Crosswalk'!$A:$I,9,FALSE)</f>
        <v/>
      </c>
      <c r="T25" s="164"/>
      <c r="U25" s="164"/>
      <c r="V25" s="164"/>
      <c r="W25" s="164"/>
      <c r="X25" s="164"/>
      <c r="Y25" s="164"/>
      <c r="Z25" s="164"/>
    </row>
    <row r="26" ht="13.5" customHeight="1">
      <c r="A26" s="164">
        <f t="shared" si="3"/>
        <v>24</v>
      </c>
      <c r="B26" s="171" t="str">
        <f>IF(I25="Yes","CONS-07","")</f>
        <v/>
      </c>
      <c r="C26" s="164" t="str">
        <f>VLOOKUP(B26,HECVAT!A:E,2,FALSE)</f>
        <v>#N/A</v>
      </c>
      <c r="D26" s="164" t="str">
        <f>VLOOKUP(B26,HECVAT!A:E,4,FALSE)</f>
        <v>#N/A</v>
      </c>
      <c r="E26" s="174" t="b">
        <f>IF(Questions!$K26&gt;20,TRUE,FALSE)</f>
        <v>1</v>
      </c>
      <c r="F26" s="174" t="s">
        <v>2752</v>
      </c>
      <c r="G26" s="171" t="s">
        <v>92</v>
      </c>
      <c r="H26" s="176">
        <f>IF(I25="Yes",1,0)</f>
        <v>0</v>
      </c>
      <c r="I26" s="164" t="str">
        <f>VLOOKUP(B26,HECVAT!A:E,3,FALSE)</f>
        <v>#N/A</v>
      </c>
      <c r="J26" s="164" t="str">
        <f>IF(Questions!$G26=Questions!$I26,1,0)</f>
        <v>#N/A</v>
      </c>
      <c r="K26" s="164" t="str">
        <f>IF(Questions!$H26=1,25,"")</f>
        <v/>
      </c>
      <c r="L26" s="164" t="str">
        <f>IF(Questions!$H26=1,J26*K26,"")</f>
        <v/>
      </c>
      <c r="M26" s="180" t="str">
        <f>VLOOKUP($B26,'Standards Crosswalk'!$A:$H,3,FALSE)</f>
        <v>#N/A</v>
      </c>
      <c r="N26" s="180" t="str">
        <f>VLOOKUP($B26,'Standards Crosswalk'!$A:$H,4,FALSE)</f>
        <v>#N/A</v>
      </c>
      <c r="O26" s="180" t="str">
        <f>VLOOKUP($B26,'Standards Crosswalk'!$A:$H,5,FALSE)</f>
        <v>#N/A</v>
      </c>
      <c r="P26" s="180" t="str">
        <f>VLOOKUP($B26,'Standards Crosswalk'!$A:$H,6,FALSE)</f>
        <v>#N/A</v>
      </c>
      <c r="Q26" s="180" t="str">
        <f>VLOOKUP($B26,'Standards Crosswalk'!$A:$H,7,FALSE)</f>
        <v>#N/A</v>
      </c>
      <c r="R26" s="180" t="str">
        <f>VLOOKUP($B26,'Standards Crosswalk'!$A:$H,8,FALSE)</f>
        <v>#N/A</v>
      </c>
      <c r="S26" s="180" t="str">
        <f>VLOOKUP($B26,'Standards Crosswalk'!$A:$I,9,FALSE)</f>
        <v>#N/A</v>
      </c>
      <c r="T26" s="164"/>
      <c r="U26" s="164"/>
      <c r="V26" s="164"/>
      <c r="W26" s="164"/>
      <c r="X26" s="164"/>
      <c r="Y26" s="164"/>
      <c r="Z26" s="164"/>
    </row>
    <row r="27" ht="13.5" customHeight="1">
      <c r="A27" s="164">
        <f t="shared" si="3"/>
        <v>25</v>
      </c>
      <c r="B27" s="171" t="s">
        <v>186</v>
      </c>
      <c r="C27" s="164" t="str">
        <f>VLOOKUP(B27,HECVAT!A:E,2,FALSE)</f>
        <v>Will the consultant need remote access to the Institution's network or systems?</v>
      </c>
      <c r="D27" s="212" t="str">
        <f>VLOOKUP(B27,HECVAT!A:E,4,FALSE)</f>
        <v/>
      </c>
      <c r="E27" s="174" t="b">
        <f>IF(Questions!$K27&gt;20,TRUE,FALSE)</f>
        <v>1</v>
      </c>
      <c r="F27" s="174" t="s">
        <v>2752</v>
      </c>
      <c r="G27" s="171" t="s">
        <v>85</v>
      </c>
      <c r="H27" s="176">
        <v>1.0</v>
      </c>
      <c r="I27" s="164" t="str">
        <f>VLOOKUP(B27,HECVAT!A:E,3,FALSE)</f>
        <v/>
      </c>
      <c r="J27" s="164">
        <f>IF(Questions!$G27=Questions!$I27,1,0)</f>
        <v>0</v>
      </c>
      <c r="K27" s="164">
        <f>IF(Questions!$H27=1,25,"")</f>
        <v>25</v>
      </c>
      <c r="L27" s="164">
        <f>IF(Questions!$H27=1,J27*K27,"")</f>
        <v>0</v>
      </c>
      <c r="M27" s="180" t="str">
        <f>VLOOKUP($B27,'Standards Crosswalk'!$A:$H,3,FALSE)</f>
        <v>CSC 14</v>
      </c>
      <c r="N27" s="180" t="str">
        <f>VLOOKUP($B27,'Standards Crosswalk'!$A:$H,4,FALSE)</f>
        <v/>
      </c>
      <c r="O27" s="180" t="str">
        <f>VLOOKUP($B27,'Standards Crosswalk'!$A:$H,5,FALSE)</f>
        <v>9</v>
      </c>
      <c r="P27" s="180" t="str">
        <f>VLOOKUP($B27,'Standards Crosswalk'!$A:$H,6,FALSE)</f>
        <v>ID.AM-6, PR.AT-3</v>
      </c>
      <c r="Q27" s="180" t="str">
        <f>VLOOKUP($B27,'Standards Crosswalk'!$A:$H,7,FALSE)</f>
        <v/>
      </c>
      <c r="R27" s="180" t="str">
        <f>VLOOKUP($B27,'Standards Crosswalk'!$A:$H,8,FALSE)</f>
        <v/>
      </c>
      <c r="S27" s="180" t="str">
        <f>VLOOKUP($B27,'Standards Crosswalk'!$A:$I,9,FALSE)</f>
        <v/>
      </c>
      <c r="T27" s="164"/>
      <c r="U27" s="164"/>
      <c r="V27" s="164"/>
      <c r="W27" s="164"/>
      <c r="X27" s="164"/>
      <c r="Y27" s="164"/>
      <c r="Z27" s="164"/>
    </row>
    <row r="28" ht="13.5" customHeight="1">
      <c r="A28" s="164">
        <f t="shared" si="3"/>
        <v>26</v>
      </c>
      <c r="B28" s="171" t="str">
        <f>IF(I27="Yes","CONS-09","")</f>
        <v/>
      </c>
      <c r="C28" s="164" t="str">
        <f>VLOOKUP(B28,HECVAT!A:E,2,FALSE)</f>
        <v>#N/A</v>
      </c>
      <c r="D28" s="164" t="str">
        <f>VLOOKUP(B28,HECVAT!A:E,4,FALSE)</f>
        <v>#N/A</v>
      </c>
      <c r="E28" s="174" t="b">
        <f>IF(Questions!$K28&gt;20,TRUE,FALSE)</f>
        <v>1</v>
      </c>
      <c r="F28" s="174" t="s">
        <v>2752</v>
      </c>
      <c r="G28" s="171" t="s">
        <v>92</v>
      </c>
      <c r="H28" s="176">
        <f>IF(I27="Yes",1,0)</f>
        <v>0</v>
      </c>
      <c r="I28" s="164" t="str">
        <f>VLOOKUP(B28,HECVAT!A:E,3,FALSE)</f>
        <v>#N/A</v>
      </c>
      <c r="J28" s="164" t="str">
        <f>IF(OR(Questions!$G28=Questions!$I28,Questions!$I28="N/A"),1,0)</f>
        <v>#N/A</v>
      </c>
      <c r="K28" s="164" t="str">
        <f>IF(Questions!$H28=1,20,"")</f>
        <v/>
      </c>
      <c r="L28" s="164" t="str">
        <f>IF(Questions!$H28=1,J28*K28,"")</f>
        <v/>
      </c>
      <c r="M28" s="180" t="str">
        <f>VLOOKUP($B28,'Standards Crosswalk'!$A:$H,3,FALSE)</f>
        <v>#N/A</v>
      </c>
      <c r="N28" s="180" t="str">
        <f>VLOOKUP($B28,'Standards Crosswalk'!$A:$H,4,FALSE)</f>
        <v>#N/A</v>
      </c>
      <c r="O28" s="180" t="str">
        <f>VLOOKUP($B28,'Standards Crosswalk'!$A:$H,5,FALSE)</f>
        <v>#N/A</v>
      </c>
      <c r="P28" s="180" t="str">
        <f>VLOOKUP($B28,'Standards Crosswalk'!$A:$H,6,FALSE)</f>
        <v>#N/A</v>
      </c>
      <c r="Q28" s="180" t="str">
        <f>VLOOKUP($B28,'Standards Crosswalk'!$A:$H,7,FALSE)</f>
        <v>#N/A</v>
      </c>
      <c r="R28" s="180" t="str">
        <f>VLOOKUP($B28,'Standards Crosswalk'!$A:$H,8,FALSE)</f>
        <v>#N/A</v>
      </c>
      <c r="S28" s="180" t="str">
        <f>VLOOKUP($B28,'Standards Crosswalk'!$A:$I,9,FALSE)</f>
        <v>#N/A</v>
      </c>
      <c r="T28" s="164"/>
      <c r="U28" s="164"/>
      <c r="V28" s="164"/>
      <c r="W28" s="164"/>
      <c r="X28" s="164"/>
      <c r="Y28" s="164"/>
      <c r="Z28" s="164"/>
    </row>
    <row r="29" ht="13.5" customHeight="1">
      <c r="A29" s="164">
        <f t="shared" si="3"/>
        <v>27</v>
      </c>
      <c r="B29" s="171" t="s">
        <v>196</v>
      </c>
      <c r="C29" s="164" t="str">
        <f>VLOOKUP(B29,HECVAT!A:E,2,FALSE)</f>
        <v>Do you support role-based access control (RBAC) for end-users?</v>
      </c>
      <c r="D29" s="164" t="str">
        <f>VLOOKUP(B29,HECVAT!A:E,4,FALSE)</f>
        <v/>
      </c>
      <c r="E29" s="174" t="b">
        <f>IF(Questions!$K29&gt;20,TRUE,FALSE)</f>
        <v>1</v>
      </c>
      <c r="F29" s="204" t="s">
        <v>2755</v>
      </c>
      <c r="G29" s="171" t="s">
        <v>92</v>
      </c>
      <c r="H29" s="176">
        <v>1.0</v>
      </c>
      <c r="I29" s="164" t="str">
        <f>VLOOKUP(B29,HECVAT!A:E,3,FALSE)</f>
        <v>No</v>
      </c>
      <c r="J29" s="164">
        <f>IF(Questions!$G29=Questions!$I29,1,0)</f>
        <v>0</v>
      </c>
      <c r="K29" s="164">
        <f>IF(Questions!$H29=1,25,"")</f>
        <v>25</v>
      </c>
      <c r="L29" s="164">
        <f>IF(Questions!$H29=1,J29*K29,"")</f>
        <v>0</v>
      </c>
      <c r="M29" s="180" t="str">
        <f>VLOOKUP($B29,'Standards Crosswalk'!$A:$H,3,FALSE)</f>
        <v>CSC 18</v>
      </c>
      <c r="N29" s="180" t="str">
        <f>VLOOKUP($B29,'Standards Crosswalk'!$A:$H,4,FALSE)</f>
        <v/>
      </c>
      <c r="O29" s="180" t="str">
        <f>VLOOKUP($B29,'Standards Crosswalk'!$A:$H,5,FALSE)</f>
        <v/>
      </c>
      <c r="P29" s="180" t="str">
        <f>VLOOKUP($B29,'Standards Crosswalk'!$A:$H,6,FALSE)</f>
        <v>ID.AM-5</v>
      </c>
      <c r="Q29" s="180" t="str">
        <f>VLOOKUP($B29,'Standards Crosswalk'!$A:$H,7,FALSE)</f>
        <v/>
      </c>
      <c r="R29" s="180" t="str">
        <f>VLOOKUP($B29,'Standards Crosswalk'!$A:$H,8,FALSE)</f>
        <v/>
      </c>
      <c r="S29" s="180" t="str">
        <f>VLOOKUP($B29,'Standards Crosswalk'!$A:$I,9,FALSE)</f>
        <v/>
      </c>
      <c r="T29" s="164"/>
      <c r="U29" s="164"/>
      <c r="V29" s="164"/>
      <c r="W29" s="164"/>
      <c r="X29" s="164"/>
      <c r="Y29" s="164"/>
      <c r="Z29" s="164"/>
    </row>
    <row r="30" ht="13.5" customHeight="1">
      <c r="A30" s="164">
        <f t="shared" si="3"/>
        <v>28</v>
      </c>
      <c r="B30" s="171" t="s">
        <v>198</v>
      </c>
      <c r="C30" s="164" t="str">
        <f>VLOOKUP(B30,HECVAT!A:E,2,FALSE)</f>
        <v>Do you support role-based access control (RBAC) for system administrators?</v>
      </c>
      <c r="D30" s="164" t="str">
        <f>VLOOKUP(B30,HECVAT!A:E,4,FALSE)</f>
        <v/>
      </c>
      <c r="E30" s="174" t="b">
        <f>IF(Questions!$K30&gt;20,TRUE,FALSE)</f>
        <v>1</v>
      </c>
      <c r="F30" s="204" t="s">
        <v>2755</v>
      </c>
      <c r="G30" s="171" t="s">
        <v>92</v>
      </c>
      <c r="H30" s="176">
        <v>1.0</v>
      </c>
      <c r="I30" s="164" t="str">
        <f>VLOOKUP(B30,HECVAT!A:E,3,FALSE)</f>
        <v>Yes</v>
      </c>
      <c r="J30" s="164">
        <f>IF(Questions!$G30=Questions!$I30,1,0)</f>
        <v>1</v>
      </c>
      <c r="K30" s="164">
        <f>IF(Questions!$H30=1,25,"")</f>
        <v>25</v>
      </c>
      <c r="L30" s="164">
        <f>IF(Questions!$H30=1,J30*K30,"")</f>
        <v>25</v>
      </c>
      <c r="M30" s="180" t="str">
        <f>VLOOKUP($B30,'Standards Crosswalk'!$A:$H,3,FALSE)</f>
        <v>CSC 2, CSC 3</v>
      </c>
      <c r="N30" s="180" t="str">
        <f>VLOOKUP($B30,'Standards Crosswalk'!$A:$H,4,FALSE)</f>
        <v/>
      </c>
      <c r="O30" s="180" t="str">
        <f>VLOOKUP($B30,'Standards Crosswalk'!$A:$H,5,FALSE)</f>
        <v>11.2.6</v>
      </c>
      <c r="P30" s="180" t="str">
        <f>VLOOKUP($B30,'Standards Crosswalk'!$A:$H,6,FALSE)</f>
        <v>ID.AM-5</v>
      </c>
      <c r="Q30" s="180" t="str">
        <f>VLOOKUP($B30,'Standards Crosswalk'!$A:$H,7,FALSE)</f>
        <v/>
      </c>
      <c r="R30" s="180" t="str">
        <f>VLOOKUP($B30,'Standards Crosswalk'!$A:$H,8,FALSE)</f>
        <v/>
      </c>
      <c r="S30" s="180" t="str">
        <f>VLOOKUP($B30,'Standards Crosswalk'!$A:$I,9,FALSE)</f>
        <v/>
      </c>
      <c r="T30" s="164"/>
      <c r="U30" s="164"/>
      <c r="V30" s="164"/>
      <c r="W30" s="164"/>
      <c r="X30" s="164"/>
      <c r="Y30" s="164"/>
      <c r="Z30" s="164"/>
    </row>
    <row r="31" ht="13.5" customHeight="1">
      <c r="A31" s="164">
        <f t="shared" si="3"/>
        <v>29</v>
      </c>
      <c r="B31" s="171" t="s">
        <v>201</v>
      </c>
      <c r="C31" s="164" t="str">
        <f>VLOOKUP(B31,HECVAT!A:E,2,FALSE)</f>
        <v>Can employees access customer data remotely?</v>
      </c>
      <c r="D31" s="164" t="str">
        <f>VLOOKUP(B31,HECVAT!A:E,4,FALSE)</f>
        <v/>
      </c>
      <c r="E31" s="174" t="b">
        <f>IF(Questions!$K31&gt;20,TRUE,FALSE)</f>
        <v>0</v>
      </c>
      <c r="F31" s="204" t="s">
        <v>2755</v>
      </c>
      <c r="G31" s="171" t="s">
        <v>92</v>
      </c>
      <c r="H31" s="176">
        <v>1.0</v>
      </c>
      <c r="I31" s="164" t="str">
        <f>VLOOKUP(B31,HECVAT!A:E,3,FALSE)</f>
        <v>No</v>
      </c>
      <c r="J31" s="164">
        <f>IF(Questions!$G31=Questions!$I31,1,0)</f>
        <v>0</v>
      </c>
      <c r="K31" s="164">
        <f>IF(Questions!$H31=1,20,"")</f>
        <v>20</v>
      </c>
      <c r="L31" s="164">
        <f>IF(Questions!$H31=1,J31*K31,"")</f>
        <v>0</v>
      </c>
      <c r="M31" s="180" t="str">
        <f>VLOOKUP($B31,'Standards Crosswalk'!$A:$H,3,FALSE)</f>
        <v>CSC 14</v>
      </c>
      <c r="N31" s="180" t="str">
        <f>VLOOKUP($B31,'Standards Crosswalk'!$A:$H,4,FALSE)</f>
        <v/>
      </c>
      <c r="O31" s="180">
        <f>VLOOKUP($B31,'Standards Crosswalk'!$A:$H,5,FALSE)</f>
        <v>6.2</v>
      </c>
      <c r="P31" s="180" t="str">
        <f>VLOOKUP($B31,'Standards Crosswalk'!$A:$H,6,FALSE)</f>
        <v>PR.AC-3, PR.MA-2</v>
      </c>
      <c r="Q31" s="180" t="str">
        <f>VLOOKUP($B31,'Standards Crosswalk'!$A:$H,7,FALSE)</f>
        <v>3.1.2</v>
      </c>
      <c r="R31" s="180" t="str">
        <f>VLOOKUP($B31,'Standards Crosswalk'!$A:$H,8,FALSE)</f>
        <v>AC-17; NIST SP 800-46</v>
      </c>
      <c r="S31" s="180" t="str">
        <f>VLOOKUP($B31,'Standards Crosswalk'!$A:$I,9,FALSE)</f>
        <v>7.x</v>
      </c>
      <c r="T31" s="164"/>
      <c r="U31" s="164"/>
      <c r="V31" s="164"/>
      <c r="W31" s="164"/>
      <c r="X31" s="164"/>
      <c r="Y31" s="164"/>
      <c r="Z31" s="164"/>
    </row>
    <row r="32" ht="13.5" customHeight="1">
      <c r="A32" s="164">
        <f t="shared" si="3"/>
        <v>30</v>
      </c>
      <c r="B32" s="171" t="s">
        <v>204</v>
      </c>
      <c r="C32" s="164" t="str">
        <f>VLOOKUP(B32,HECVAT!A:E,2,FALSE)</f>
        <v>Can you provide overall system and/or application architecture diagrams including a full description of the data communications architecture for all components of the system?</v>
      </c>
      <c r="D32" s="164" t="str">
        <f>VLOOKUP(B32,HECVAT!A:E,4,FALSE)</f>
        <v>See System Diagram Tab</v>
      </c>
      <c r="E32" s="174" t="b">
        <f>IF(Questions!$K32&gt;20,TRUE,FALSE)</f>
        <v>0</v>
      </c>
      <c r="F32" s="204" t="s">
        <v>2755</v>
      </c>
      <c r="G32" s="171" t="s">
        <v>92</v>
      </c>
      <c r="H32" s="176">
        <v>1.0</v>
      </c>
      <c r="I32" s="164" t="str">
        <f>VLOOKUP(B32,HECVAT!A:E,3,FALSE)</f>
        <v>Yes</v>
      </c>
      <c r="J32" s="164">
        <f>IF(Questions!$G32=Questions!$I32,1,0)</f>
        <v>1</v>
      </c>
      <c r="K32" s="164">
        <f>IF(Questions!$H32=1,20,"")</f>
        <v>20</v>
      </c>
      <c r="L32" s="164">
        <f>IF(Questions!$H32=1,J32*K32,"")</f>
        <v>20</v>
      </c>
      <c r="M32" s="180" t="str">
        <f>VLOOKUP($B32,'Standards Crosswalk'!$A:$H,3,FALSE)</f>
        <v>CSC16</v>
      </c>
      <c r="N32" s="180" t="str">
        <f>VLOOKUP($B32,'Standards Crosswalk'!$A:$H,4,FALSE)</f>
        <v/>
      </c>
      <c r="O32" s="180" t="str">
        <f>VLOOKUP($B32,'Standards Crosswalk'!$A:$H,5,FALSE)</f>
        <v>9.1.1</v>
      </c>
      <c r="P32" s="180" t="str">
        <f>VLOOKUP($B32,'Standards Crosswalk'!$A:$H,6,FALSE)</f>
        <v>PR.AC-4, PR.PT-3</v>
      </c>
      <c r="Q32" s="180" t="str">
        <f>VLOOKUP($B32,'Standards Crosswalk'!$A:$H,7,FALSE)</f>
        <v>3.4.9</v>
      </c>
      <c r="R32" s="180" t="str">
        <f>VLOOKUP($B32,'Standards Crosswalk'!$A:$H,8,FALSE)</f>
        <v>CM-11</v>
      </c>
      <c r="S32" s="180" t="str">
        <f>VLOOKUP($B32,'Standards Crosswalk'!$A:$I,9,FALSE)</f>
        <v>7.x</v>
      </c>
      <c r="T32" s="164"/>
      <c r="U32" s="164"/>
      <c r="V32" s="164"/>
      <c r="W32" s="164"/>
      <c r="X32" s="164"/>
      <c r="Y32" s="164"/>
      <c r="Z32" s="164"/>
    </row>
    <row r="33" ht="13.5" customHeight="1">
      <c r="A33" s="164">
        <f t="shared" si="3"/>
        <v>31</v>
      </c>
      <c r="B33" s="171" t="s">
        <v>209</v>
      </c>
      <c r="C33" s="164" t="str">
        <f>VLOOKUP(B33,HECVAT!A:E,2,FALSE)</f>
        <v>Does the system provide data input validation and error messages? </v>
      </c>
      <c r="D33" s="164" t="str">
        <f>VLOOKUP(B33,HECVAT!A:E,4,FALSE)</f>
        <v/>
      </c>
      <c r="E33" s="174" t="b">
        <f>IF(Questions!$K33&gt;20,TRUE,FALSE)</f>
        <v>0</v>
      </c>
      <c r="F33" s="204" t="s">
        <v>2755</v>
      </c>
      <c r="G33" s="171" t="s">
        <v>92</v>
      </c>
      <c r="H33" s="176">
        <v>1.0</v>
      </c>
      <c r="I33" s="164" t="str">
        <f>VLOOKUP(B33,HECVAT!A:E,3,FALSE)</f>
        <v>Yes</v>
      </c>
      <c r="J33" s="164">
        <f>IF(Questions!$G33=Questions!$I33,1,0)</f>
        <v>1</v>
      </c>
      <c r="K33" s="164">
        <f>IF(Questions!$H33=1,20,"")</f>
        <v>20</v>
      </c>
      <c r="L33" s="164">
        <f>IF(Questions!$H33=1,J33*K33,"")</f>
        <v>20</v>
      </c>
      <c r="M33" s="180" t="str">
        <f>VLOOKUP($B33,'Standards Crosswalk'!$A:$H,3,FALSE)</f>
        <v>CSC 18</v>
      </c>
      <c r="N33" s="180" t="str">
        <f>VLOOKUP($B33,'Standards Crosswalk'!$A:$H,4,FALSE)</f>
        <v/>
      </c>
      <c r="O33" s="180" t="str">
        <f>VLOOKUP($B33,'Standards Crosswalk'!$A:$H,5,FALSE)</f>
        <v/>
      </c>
      <c r="P33" s="180" t="str">
        <f>VLOOKUP($B33,'Standards Crosswalk'!$A:$H,6,FALSE)</f>
        <v>ID.AM-5</v>
      </c>
      <c r="Q33" s="180" t="str">
        <f>VLOOKUP($B33,'Standards Crosswalk'!$A:$H,7,FALSE)</f>
        <v/>
      </c>
      <c r="R33" s="180" t="str">
        <f>VLOOKUP($B33,'Standards Crosswalk'!$A:$H,8,FALSE)</f>
        <v/>
      </c>
      <c r="S33" s="180" t="str">
        <f>VLOOKUP($B33,'Standards Crosswalk'!$A:$I,9,FALSE)</f>
        <v/>
      </c>
      <c r="T33" s="164"/>
      <c r="U33" s="164"/>
      <c r="V33" s="164"/>
      <c r="W33" s="164"/>
      <c r="X33" s="164"/>
      <c r="Y33" s="164"/>
      <c r="Z33" s="164"/>
    </row>
    <row r="34" ht="13.5" customHeight="1">
      <c r="A34" s="164">
        <f t="shared" si="3"/>
        <v>32</v>
      </c>
      <c r="B34" s="171" t="s">
        <v>215</v>
      </c>
      <c r="C34" s="164" t="str">
        <f>VLOOKUP(B34,HECVAT!A:E,2,FALSE)</f>
        <v>Do you employ a single-tenant environment? </v>
      </c>
      <c r="D34" s="212" t="str">
        <f>VLOOKUP(B34,HECVAT!A:E,4,FALSE)</f>
        <v/>
      </c>
      <c r="E34" s="174" t="b">
        <f>IF(Questions!$K34&gt;20,TRUE,FALSE)</f>
        <v>1</v>
      </c>
      <c r="F34" s="204" t="s">
        <v>2755</v>
      </c>
      <c r="G34" s="171" t="s">
        <v>92</v>
      </c>
      <c r="H34" s="176">
        <v>1.0</v>
      </c>
      <c r="I34" s="164" t="str">
        <f>VLOOKUP(B34,HECVAT!A:E,3,FALSE)</f>
        <v>Yes</v>
      </c>
      <c r="J34" s="164">
        <f>IF(Questions!$G34=Questions!$I34,1,0)</f>
        <v>1</v>
      </c>
      <c r="K34" s="164">
        <f>IF(Questions!$H34=1,25,"")</f>
        <v>25</v>
      </c>
      <c r="L34" s="164">
        <f>IF(Questions!$H34=1,J34*K34,"")</f>
        <v>25</v>
      </c>
      <c r="M34" s="180" t="str">
        <f>VLOOKUP($B34,'Standards Crosswalk'!$A:$H,3,FALSE)</f>
        <v>CSC 12</v>
      </c>
      <c r="N34" s="180" t="str">
        <f>VLOOKUP($B34,'Standards Crosswalk'!$A:$H,4,FALSE)</f>
        <v/>
      </c>
      <c r="O34" s="180">
        <f>VLOOKUP($B34,'Standards Crosswalk'!$A:$H,5,FALSE)</f>
        <v>6.2</v>
      </c>
      <c r="P34" s="180" t="str">
        <f>VLOOKUP($B34,'Standards Crosswalk'!$A:$H,6,FALSE)</f>
        <v>PR.PT-3</v>
      </c>
      <c r="Q34" s="180" t="str">
        <f>VLOOKUP($B34,'Standards Crosswalk'!$A:$H,7,FALSE)</f>
        <v>3.1.12, 3.1.13, 3.1.14, 3.1.14, 3.1.15, 3.1.8, 3.1.20, 3.7.5, 3.8.2, 3.13.7</v>
      </c>
      <c r="R34" s="180" t="str">
        <f>VLOOKUP($B34,'Standards Crosswalk'!$A:$H,8,FALSE)</f>
        <v>AC-3, CM-7; NIST SP 800-46</v>
      </c>
      <c r="S34" s="180" t="str">
        <f>VLOOKUP($B34,'Standards Crosswalk'!$A:$I,9,FALSE)</f>
        <v/>
      </c>
      <c r="T34" s="164"/>
      <c r="U34" s="164"/>
      <c r="V34" s="164"/>
      <c r="W34" s="164"/>
      <c r="X34" s="164"/>
      <c r="Y34" s="164"/>
      <c r="Z34" s="164"/>
    </row>
    <row r="35" ht="13.5" customHeight="1">
      <c r="A35" s="164">
        <f t="shared" si="3"/>
        <v>33</v>
      </c>
      <c r="B35" s="171" t="s">
        <v>219</v>
      </c>
      <c r="C35" s="164" t="str">
        <f>VLOOKUP(B35,HECVAT!A:E,2,FALSE)</f>
        <v>What operating system(s) is/are leveraged by the system(s)/application(s) that will have access to institution's data?</v>
      </c>
      <c r="D35" s="164" t="str">
        <f>VLOOKUP(B35,HECVAT!A:E,4,FALSE)</f>
        <v/>
      </c>
      <c r="E35" s="174" t="b">
        <f>IF(Questions!$K35&gt;20,TRUE,FALSE)</f>
        <v>0</v>
      </c>
      <c r="F35" s="204" t="s">
        <v>2755</v>
      </c>
      <c r="G35" s="171"/>
      <c r="H35" s="176">
        <v>1.0</v>
      </c>
      <c r="I35" s="164" t="str">
        <f>VLOOKUP(B35,HECVAT!A:E,3,FALSE)</f>
        <v>We are hosted on Google Cloud using Linux VMs</v>
      </c>
      <c r="J35" s="164">
        <f>IF(VLOOKUP(Questions!$B35,'Analyst Report'!$A$38:$G$85,7,FALSE)="Yes",1,0)</f>
        <v>0</v>
      </c>
      <c r="K35" s="164">
        <f>IF(Questions!$H35=1,20,"")</f>
        <v>20</v>
      </c>
      <c r="L35" s="164">
        <f>IF(Questions!$H35=1,J35*K35,"")</f>
        <v>0</v>
      </c>
      <c r="M35" s="180" t="str">
        <f>VLOOKUP($B35,'Standards Crosswalk'!$A:$H,3,FALSE)</f>
        <v>CSC 2</v>
      </c>
      <c r="N35" s="180" t="str">
        <f>VLOOKUP($B35,'Standards Crosswalk'!$A:$H,4,FALSE)</f>
        <v/>
      </c>
      <c r="O35" s="180" t="str">
        <f>VLOOKUP($B35,'Standards Crosswalk'!$A:$H,5,FALSE)</f>
        <v>12.5.1</v>
      </c>
      <c r="P35" s="180" t="str">
        <f>VLOOKUP($B35,'Standards Crosswalk'!$A:$H,6,FALSE)</f>
        <v>PR.PT-3</v>
      </c>
      <c r="Q35" s="180" t="str">
        <f>VLOOKUP($B35,'Standards Crosswalk'!$A:$H,7,FALSE)</f>
        <v/>
      </c>
      <c r="R35" s="180" t="str">
        <f>VLOOKUP($B35,'Standards Crosswalk'!$A:$H,8,FALSE)</f>
        <v>AC-17; NIST SP 800-46</v>
      </c>
      <c r="S35" s="180" t="str">
        <f>VLOOKUP($B35,'Standards Crosswalk'!$A:$I,9,FALSE)</f>
        <v/>
      </c>
      <c r="T35" s="164"/>
      <c r="U35" s="164"/>
      <c r="V35" s="164"/>
      <c r="W35" s="164"/>
      <c r="X35" s="164"/>
      <c r="Y35" s="164"/>
      <c r="Z35" s="164"/>
    </row>
    <row r="36" ht="13.5" customHeight="1">
      <c r="A36" s="164">
        <f t="shared" si="3"/>
        <v>34</v>
      </c>
      <c r="B36" s="171" t="s">
        <v>223</v>
      </c>
      <c r="C36" s="164" t="str">
        <f>VLOOKUP(B36,HECVAT!A:E,2,FALSE)</f>
        <v>Have you or any third party you contract with that may have access or allow access to the institution's data experienced a breach?</v>
      </c>
      <c r="D36" s="212" t="str">
        <f>VLOOKUP(B36,HECVAT!A:E,4,FALSE)</f>
        <v/>
      </c>
      <c r="E36" s="174" t="b">
        <f>IF(Questions!$K36&gt;20,TRUE,FALSE)</f>
        <v>1</v>
      </c>
      <c r="F36" s="204" t="s">
        <v>2755</v>
      </c>
      <c r="G36" s="171" t="s">
        <v>85</v>
      </c>
      <c r="H36" s="176">
        <v>1.0</v>
      </c>
      <c r="I36" s="164" t="str">
        <f>VLOOKUP(B36,HECVAT!A:E,3,FALSE)</f>
        <v>No</v>
      </c>
      <c r="J36" s="164">
        <f>IF(Questions!$G36=Questions!$I36,1,0)</f>
        <v>1</v>
      </c>
      <c r="K36" s="164">
        <f>IF(Questions!$H36=1,25,"")</f>
        <v>25</v>
      </c>
      <c r="L36" s="164">
        <f>IF(Questions!$H36=1,J36*K36,"")</f>
        <v>25</v>
      </c>
      <c r="M36" s="180" t="str">
        <f>VLOOKUP($B36,'Standards Crosswalk'!$A:$H,3,FALSE)</f>
        <v/>
      </c>
      <c r="N36" s="180" t="str">
        <f>VLOOKUP($B36,'Standards Crosswalk'!$A:$H,4,FALSE)</f>
        <v/>
      </c>
      <c r="O36" s="180">
        <f>VLOOKUP($B36,'Standards Crosswalk'!$A:$H,5,FALSE)</f>
        <v>16</v>
      </c>
      <c r="P36" s="180" t="str">
        <f>VLOOKUP($B36,'Standards Crosswalk'!$A:$H,6,FALSE)</f>
        <v/>
      </c>
      <c r="Q36" s="180" t="str">
        <f>VLOOKUP($B36,'Standards Crosswalk'!$A:$H,7,FALSE)</f>
        <v/>
      </c>
      <c r="R36" s="180" t="str">
        <f>VLOOKUP($B36,'Standards Crosswalk'!$A:$H,8,FALSE)</f>
        <v/>
      </c>
      <c r="S36" s="180" t="str">
        <f>VLOOKUP($B36,'Standards Crosswalk'!$A:$I,9,FALSE)</f>
        <v>12.8, 4.2</v>
      </c>
      <c r="T36" s="164"/>
      <c r="U36" s="164"/>
      <c r="V36" s="164"/>
      <c r="W36" s="164"/>
      <c r="X36" s="164"/>
      <c r="Y36" s="164"/>
      <c r="Z36" s="164"/>
    </row>
    <row r="37" ht="13.5" customHeight="1">
      <c r="A37" s="164">
        <f t="shared" si="3"/>
        <v>35</v>
      </c>
      <c r="B37" s="171" t="s">
        <v>230</v>
      </c>
      <c r="C37" s="164" t="str">
        <f>VLOOKUP(B37,HECVAT!A:E,2,FALSE)</f>
        <v>Describe or provide a reference to additional software/products necessary to implement a functional system on either the backend or user-interface side of the system. </v>
      </c>
      <c r="D37" s="164" t="str">
        <f>VLOOKUP(B37,HECVAT!A:E,4,FALSE)</f>
        <v/>
      </c>
      <c r="E37" s="174" t="b">
        <f>IF(Questions!$K37&gt;20,TRUE,FALSE)</f>
        <v>0</v>
      </c>
      <c r="F37" s="204" t="s">
        <v>2755</v>
      </c>
      <c r="G37" s="171"/>
      <c r="H37" s="176">
        <v>1.0</v>
      </c>
      <c r="I37" s="164" t="str">
        <f>VLOOKUP(B37,HECVAT!A:E,3,FALSE)</f>
        <v>No other software products are necessary</v>
      </c>
      <c r="J37" s="164">
        <f>IF(VLOOKUP(Questions!$B37,'Analyst Report'!$A$38:$G$85,7,FALSE)="Yes",1,0)</f>
        <v>0</v>
      </c>
      <c r="K37" s="164">
        <f>IF(Questions!$H37=1,15,"")</f>
        <v>15</v>
      </c>
      <c r="L37" s="164">
        <f>IF(Questions!$H37=1,J37*K37,"")</f>
        <v>0</v>
      </c>
      <c r="M37" s="180" t="str">
        <f>VLOOKUP($B37,'Standards Crosswalk'!$A:$H,3,FALSE)</f>
        <v>CSC 2</v>
      </c>
      <c r="N37" s="180" t="str">
        <f>VLOOKUP($B37,'Standards Crosswalk'!$A:$H,4,FALSE)</f>
        <v/>
      </c>
      <c r="O37" s="180" t="str">
        <f>VLOOKUP($B37,'Standards Crosswalk'!$A:$H,5,FALSE)</f>
        <v>12.5.1</v>
      </c>
      <c r="P37" s="180" t="str">
        <f>VLOOKUP($B37,'Standards Crosswalk'!$A:$H,6,FALSE)</f>
        <v>ID.AM-2</v>
      </c>
      <c r="Q37" s="180" t="str">
        <f>VLOOKUP($B37,'Standards Crosswalk'!$A:$H,7,FALSE)</f>
        <v/>
      </c>
      <c r="R37" s="180" t="str">
        <f>VLOOKUP($B37,'Standards Crosswalk'!$A:$H,8,FALSE)</f>
        <v/>
      </c>
      <c r="S37" s="180" t="str">
        <f>VLOOKUP($B37,'Standards Crosswalk'!$A:$I,9,FALSE)</f>
        <v/>
      </c>
      <c r="T37" s="164"/>
      <c r="U37" s="164"/>
      <c r="V37" s="164"/>
      <c r="W37" s="164"/>
      <c r="X37" s="164"/>
      <c r="Y37" s="164"/>
      <c r="Z37" s="164"/>
    </row>
    <row r="38" ht="13.5" customHeight="1">
      <c r="A38" s="164">
        <f t="shared" si="3"/>
        <v>36</v>
      </c>
      <c r="B38" s="171" t="s">
        <v>238</v>
      </c>
      <c r="C38" s="164" t="str">
        <f>VLOOKUP(B38,HECVAT!A:E,2,FALSE)</f>
        <v>Describe or provide a reference to the overall system and/or application architecture(s), including appropriate diagrams. Include a full description of the data communications architecture for all components of the system. </v>
      </c>
      <c r="D38" s="164" t="str">
        <f>VLOOKUP(B38,HECVAT!A:E,4,FALSE)</f>
        <v/>
      </c>
      <c r="E38" s="174" t="b">
        <f>IF(Questions!$K38&gt;20,TRUE,FALSE)</f>
        <v>1</v>
      </c>
      <c r="F38" s="204" t="s">
        <v>2755</v>
      </c>
      <c r="G38" s="171"/>
      <c r="H38" s="176">
        <v>1.0</v>
      </c>
      <c r="I38" s="164" t="str">
        <f>VLOOKUP(B38,HECVAT!A:E,3,FALSE)</f>
        <v>See System Diagram Tab</v>
      </c>
      <c r="J38" s="164">
        <f>IF(VLOOKUP(Questions!$B38,'Analyst Report'!$A$38:$G$85,7,FALSE)="Yes",1,0)</f>
        <v>0</v>
      </c>
      <c r="K38" s="164">
        <f>IF(Questions!$H38=1,25,"")</f>
        <v>25</v>
      </c>
      <c r="L38" s="164">
        <f>IF(Questions!$H38=1,J38*K38,"")</f>
        <v>0</v>
      </c>
      <c r="M38" s="180" t="str">
        <f>VLOOKUP($B38,'Standards Crosswalk'!$A:$H,3,FALSE)</f>
        <v>CSC 2</v>
      </c>
      <c r="N38" s="180" t="str">
        <f>VLOOKUP($B38,'Standards Crosswalk'!$A:$H,4,FALSE)</f>
        <v/>
      </c>
      <c r="O38" s="180" t="str">
        <f>VLOOKUP($B38,'Standards Crosswalk'!$A:$H,5,FALSE)</f>
        <v>12.1.1</v>
      </c>
      <c r="P38" s="180" t="str">
        <f>VLOOKUP($B38,'Standards Crosswalk'!$A:$H,6,FALSE)</f>
        <v>ID.AM-1, ID.AM-2, ID.AM-4</v>
      </c>
      <c r="Q38" s="180" t="str">
        <f>VLOOKUP($B38,'Standards Crosswalk'!$A:$H,7,FALSE)</f>
        <v/>
      </c>
      <c r="R38" s="180" t="str">
        <f>VLOOKUP($B38,'Standards Crosswalk'!$A:$H,8,FALSE)</f>
        <v>CA-9, SC-4</v>
      </c>
      <c r="S38" s="180">
        <f>VLOOKUP($B38,'Standards Crosswalk'!$A:$I,9,FALSE)</f>
        <v>2.4</v>
      </c>
      <c r="T38" s="164"/>
      <c r="U38" s="164"/>
      <c r="V38" s="164"/>
      <c r="W38" s="164"/>
      <c r="X38" s="164"/>
      <c r="Y38" s="164"/>
      <c r="Z38" s="164"/>
    </row>
    <row r="39" ht="13.5" customHeight="1">
      <c r="A39" s="164">
        <f t="shared" si="3"/>
        <v>37</v>
      </c>
      <c r="B39" s="171" t="s">
        <v>241</v>
      </c>
      <c r="C39" s="164" t="str">
        <f>VLOOKUP(B39,HECVAT!A:E,2,FALSE)</f>
        <v>Are databases used in the system segregated from front-end systems? (e.g. web and application servers)</v>
      </c>
      <c r="D39" s="212" t="str">
        <f>VLOOKUP(B39,HECVAT!A:E,4,FALSE)</f>
        <v>Database cluster is segregated on separate vm. </v>
      </c>
      <c r="E39" s="174" t="b">
        <f>IF(Questions!$K39&gt;20,TRUE,FALSE)</f>
        <v>1</v>
      </c>
      <c r="F39" s="204" t="s">
        <v>2755</v>
      </c>
      <c r="G39" s="171" t="s">
        <v>92</v>
      </c>
      <c r="H39" s="176">
        <v>1.0</v>
      </c>
      <c r="I39" s="164" t="str">
        <f>VLOOKUP(B39,HECVAT!A:E,3,FALSE)</f>
        <v>Yes</v>
      </c>
      <c r="J39" s="164">
        <f>IF(Questions!$G39=Questions!$I39,1,0)</f>
        <v>1</v>
      </c>
      <c r="K39" s="164">
        <f>IF(Questions!$H39=1,40,"")</f>
        <v>40</v>
      </c>
      <c r="L39" s="164">
        <f>IF(Questions!$H39=1,J39*K39,"")</f>
        <v>40</v>
      </c>
      <c r="M39" s="180" t="str">
        <f>VLOOKUP($B39,'Standards Crosswalk'!$A:$H,3,FALSE)</f>
        <v>CSC 13</v>
      </c>
      <c r="N39" s="180" t="str">
        <f>VLOOKUP($B39,'Standards Crosswalk'!$A:$H,4,FALSE)</f>
        <v/>
      </c>
      <c r="O39" s="180" t="str">
        <f>VLOOKUP($B39,'Standards Crosswalk'!$A:$H,5,FALSE)</f>
        <v>12.1.4</v>
      </c>
      <c r="P39" s="180" t="str">
        <f>VLOOKUP($B39,'Standards Crosswalk'!$A:$H,6,FALSE)</f>
        <v/>
      </c>
      <c r="Q39" s="180" t="str">
        <f>VLOOKUP($B39,'Standards Crosswalk'!$A:$H,7,FALSE)</f>
        <v/>
      </c>
      <c r="R39" s="180" t="str">
        <f>VLOOKUP($B39,'Standards Crosswalk'!$A:$H,8,FALSE)</f>
        <v/>
      </c>
      <c r="S39" s="180" t="str">
        <f>VLOOKUP($B39,'Standards Crosswalk'!$A:$I,9,FALSE)</f>
        <v/>
      </c>
      <c r="T39" s="164"/>
      <c r="U39" s="164"/>
      <c r="V39" s="164"/>
      <c r="W39" s="164"/>
      <c r="X39" s="164"/>
      <c r="Y39" s="164"/>
      <c r="Z39" s="164"/>
    </row>
    <row r="40" ht="13.5" customHeight="1">
      <c r="A40" s="164">
        <f t="shared" si="3"/>
        <v>38</v>
      </c>
      <c r="B40" s="171" t="s">
        <v>244</v>
      </c>
      <c r="C40" s="164" t="str">
        <f>VLOOKUP(B40,HECVAT!A:E,2,FALSE)</f>
        <v>Describe or provide a reference to all web-enabled features and functionality of the system (i.e. accessed via a web-based interface). </v>
      </c>
      <c r="D40" s="164" t="str">
        <f>VLOOKUP(B40,HECVAT!A:E,4,FALSE)</f>
        <v/>
      </c>
      <c r="E40" s="174" t="b">
        <f>IF(Questions!$K40&gt;20,TRUE,FALSE)</f>
        <v>0</v>
      </c>
      <c r="F40" s="204" t="s">
        <v>2755</v>
      </c>
      <c r="G40" s="171" t="s">
        <v>85</v>
      </c>
      <c r="H40" s="176">
        <v>1.0</v>
      </c>
      <c r="I40" s="164" t="str">
        <f>VLOOKUP(B40,HECVAT!A:E,3,FALSE)</f>
        <v>Accessed via a web-based interface</v>
      </c>
      <c r="J40" s="164">
        <f>IF(VLOOKUP(Questions!$B40,'Analyst Report'!$A$38:$G$85,7,FALSE)="Yes",1,0)</f>
        <v>0</v>
      </c>
      <c r="K40" s="164">
        <f>IF(Questions!$H40=1,10,"")</f>
        <v>10</v>
      </c>
      <c r="L40" s="164">
        <f>IF(Questions!$H40=1,J40*K40,"")</f>
        <v>0</v>
      </c>
      <c r="M40" s="180" t="str">
        <f>VLOOKUP($B40,'Standards Crosswalk'!$A:$H,3,FALSE)</f>
        <v>CSC 7</v>
      </c>
      <c r="N40" s="180" t="str">
        <f>VLOOKUP($B40,'Standards Crosswalk'!$A:$H,4,FALSE)</f>
        <v/>
      </c>
      <c r="O40" s="180" t="str">
        <f>VLOOKUP($B40,'Standards Crosswalk'!$A:$H,5,FALSE)</f>
        <v>12.1.1</v>
      </c>
      <c r="P40" s="180" t="str">
        <f>VLOOKUP($B40,'Standards Crosswalk'!$A:$H,6,FALSE)</f>
        <v/>
      </c>
      <c r="Q40" s="180" t="str">
        <f>VLOOKUP($B40,'Standards Crosswalk'!$A:$H,7,FALSE)</f>
        <v/>
      </c>
      <c r="R40" s="180" t="str">
        <f>VLOOKUP($B40,'Standards Crosswalk'!$A:$H,8,FALSE)</f>
        <v/>
      </c>
      <c r="S40" s="180" t="str">
        <f>VLOOKUP($B40,'Standards Crosswalk'!$A:$I,9,FALSE)</f>
        <v/>
      </c>
      <c r="T40" s="164"/>
      <c r="U40" s="164"/>
      <c r="V40" s="164"/>
      <c r="W40" s="164"/>
      <c r="X40" s="164"/>
      <c r="Y40" s="164"/>
      <c r="Z40" s="164"/>
    </row>
    <row r="41" ht="13.5" customHeight="1">
      <c r="A41" s="164">
        <f t="shared" si="3"/>
        <v>39</v>
      </c>
      <c r="B41" s="171" t="s">
        <v>248</v>
      </c>
      <c r="C41" s="164" t="str">
        <f>VLOOKUP(B41,HECVAT!A:E,2,FALSE)</f>
        <v>Are there any OS and/or web-browser combinations that are not currently supported?</v>
      </c>
      <c r="D41" s="212" t="str">
        <f>VLOOKUP(B41,HECVAT!A:E,4,FALSE)</f>
        <v/>
      </c>
      <c r="E41" s="174" t="b">
        <f>IF(Questions!$K41&gt;20,TRUE,FALSE)</f>
        <v>0</v>
      </c>
      <c r="F41" s="204" t="s">
        <v>2755</v>
      </c>
      <c r="G41" s="171" t="s">
        <v>85</v>
      </c>
      <c r="H41" s="176">
        <v>1.0</v>
      </c>
      <c r="I41" s="164" t="str">
        <f>VLOOKUP(B41,HECVAT!A:E,3,FALSE)</f>
        <v>All web browser combinations are supported</v>
      </c>
      <c r="J41" s="164">
        <f>IF(VLOOKUP(Questions!$B41,'Analyst Report'!$A$38:$G$85,7,FALSE)="Yes",1,0)</f>
        <v>0</v>
      </c>
      <c r="K41" s="164">
        <f>IF(Questions!$H41=1,15,"")</f>
        <v>15</v>
      </c>
      <c r="L41" s="164">
        <f>IF(Questions!$H41=1,J41*K41,"")</f>
        <v>0</v>
      </c>
      <c r="M41" s="180" t="str">
        <f>VLOOKUP($B41,'Standards Crosswalk'!$A:$H,3,FALSE)</f>
        <v>CSC 7</v>
      </c>
      <c r="N41" s="180" t="str">
        <f>VLOOKUP($B41,'Standards Crosswalk'!$A:$H,4,FALSE)</f>
        <v/>
      </c>
      <c r="O41" s="180" t="str">
        <f>VLOOKUP($B41,'Standards Crosswalk'!$A:$H,5,FALSE)</f>
        <v>12.5.1</v>
      </c>
      <c r="P41" s="180" t="str">
        <f>VLOOKUP($B41,'Standards Crosswalk'!$A:$H,6,FALSE)</f>
        <v/>
      </c>
      <c r="Q41" s="180" t="str">
        <f>VLOOKUP($B41,'Standards Crosswalk'!$A:$H,7,FALSE)</f>
        <v/>
      </c>
      <c r="R41" s="180" t="str">
        <f>VLOOKUP($B41,'Standards Crosswalk'!$A:$H,8,FALSE)</f>
        <v/>
      </c>
      <c r="S41" s="180" t="str">
        <f>VLOOKUP($B41,'Standards Crosswalk'!$A:$I,9,FALSE)</f>
        <v/>
      </c>
      <c r="T41" s="164"/>
      <c r="U41" s="164"/>
      <c r="V41" s="164"/>
      <c r="W41" s="164"/>
      <c r="X41" s="164"/>
      <c r="Y41" s="164"/>
      <c r="Z41" s="164"/>
    </row>
    <row r="42" ht="13.5" customHeight="1">
      <c r="A42" s="164">
        <f t="shared" si="3"/>
        <v>40</v>
      </c>
      <c r="B42" s="171" t="s">
        <v>251</v>
      </c>
      <c r="C42" s="164" t="str">
        <f>VLOOKUP(B42,HECVAT!A:E,2,FALSE)</f>
        <v>Can your system take advantage of mobile and/or GPS enabled mobile devices?  </v>
      </c>
      <c r="D42" s="212" t="str">
        <f>VLOOKUP(B42,HECVAT!A:E,4,FALSE)</f>
        <v>https encryption, SSO enabled</v>
      </c>
      <c r="E42" s="174" t="b">
        <f>IF(Questions!$K42&gt;20,TRUE,FALSE)</f>
        <v>1</v>
      </c>
      <c r="F42" s="204" t="s">
        <v>2755</v>
      </c>
      <c r="G42" s="171" t="s">
        <v>92</v>
      </c>
      <c r="H42" s="176">
        <v>1.0</v>
      </c>
      <c r="I42" s="164" t="str">
        <f>VLOOKUP(B42,HECVAT!A:E,3,FALSE)</f>
        <v>Yes</v>
      </c>
      <c r="J42" s="164">
        <f>IF(Questions!$G42=Questions!$I42,1,0)</f>
        <v>1</v>
      </c>
      <c r="K42" s="164">
        <f>IF(Questions!$H42=1,25,"")</f>
        <v>25</v>
      </c>
      <c r="L42" s="164">
        <f>IF(Questions!$H42=1,J42*K42,"")</f>
        <v>25</v>
      </c>
      <c r="M42" s="180" t="str">
        <f>VLOOKUP($B42,'Standards Crosswalk'!$A:$H,3,FALSE)</f>
        <v>CSC 2</v>
      </c>
      <c r="N42" s="180" t="str">
        <f>VLOOKUP($B42,'Standards Crosswalk'!$A:$H,4,FALSE)</f>
        <v/>
      </c>
      <c r="O42" s="180" t="str">
        <f>VLOOKUP($B42,'Standards Crosswalk'!$A:$H,5,FALSE)</f>
        <v/>
      </c>
      <c r="P42" s="180" t="str">
        <f>VLOOKUP($B42,'Standards Crosswalk'!$A:$H,6,FALSE)</f>
        <v/>
      </c>
      <c r="Q42" s="180" t="str">
        <f>VLOOKUP($B42,'Standards Crosswalk'!$A:$H,7,FALSE)</f>
        <v/>
      </c>
      <c r="R42" s="180" t="str">
        <f>VLOOKUP($B42,'Standards Crosswalk'!$A:$H,8,FALSE)</f>
        <v/>
      </c>
      <c r="S42" s="180" t="str">
        <f>VLOOKUP($B42,'Standards Crosswalk'!$A:$I,9,FALSE)</f>
        <v/>
      </c>
      <c r="T42" s="164"/>
      <c r="U42" s="164"/>
      <c r="V42" s="164"/>
      <c r="W42" s="164"/>
      <c r="X42" s="164"/>
      <c r="Y42" s="164"/>
      <c r="Z42" s="164"/>
    </row>
    <row r="43" ht="13.5" customHeight="1">
      <c r="A43" s="164">
        <f t="shared" si="3"/>
        <v>41</v>
      </c>
      <c r="B43" s="171" t="s">
        <v>257</v>
      </c>
      <c r="C43" s="164" t="str">
        <f>VLOOKUP(B43,HECVAT!A:E,2,FALSE)</f>
        <v>Describe or provide a reference to the facilities available in the system to provide separation of duties between security administration and system administration functions.</v>
      </c>
      <c r="D43" s="164" t="str">
        <f>VLOOKUP(B43,HECVAT!A:E,4,FALSE)</f>
        <v/>
      </c>
      <c r="E43" s="174" t="b">
        <f>IF(Questions!$K43&gt;20,TRUE,FALSE)</f>
        <v>1</v>
      </c>
      <c r="F43" s="204" t="s">
        <v>2755</v>
      </c>
      <c r="G43" s="171" t="s">
        <v>92</v>
      </c>
      <c r="H43" s="176">
        <v>1.0</v>
      </c>
      <c r="I43" s="164" t="str">
        <f>VLOOKUP(B43,HECVAT!A:E,3,FALSE)</f>
        <v>CTO is responsible for system administrator function.  VP of technology is responsible for securing the code.  DBA/CTO are only ones with production DB access.</v>
      </c>
      <c r="J43" s="164">
        <f>IF(VLOOKUP(Questions!$B43,'Analyst Report'!$A$38:$G$85,7,FALSE)="Yes",1,0)</f>
        <v>0</v>
      </c>
      <c r="K43" s="164">
        <f>IF(Questions!$H43=1,25,"")</f>
        <v>25</v>
      </c>
      <c r="L43" s="164">
        <f>IF(Questions!$H43=1,J43*K43,"")</f>
        <v>0</v>
      </c>
      <c r="M43" s="180" t="str">
        <f>VLOOKUP($B43,'Standards Crosswalk'!$A:$H,3,FALSE)</f>
        <v>CSC 14</v>
      </c>
      <c r="N43" s="180" t="str">
        <f>VLOOKUP($B43,'Standards Crosswalk'!$A:$H,4,FALSE)</f>
        <v/>
      </c>
      <c r="O43" s="180" t="str">
        <f>VLOOKUP($B43,'Standards Crosswalk'!$A:$H,5,FALSE)</f>
        <v>9.2.3, 12.1.4</v>
      </c>
      <c r="P43" s="180" t="str">
        <f>VLOOKUP($B43,'Standards Crosswalk'!$A:$H,6,FALSE)</f>
        <v>PR.AC-4, PR.PT-3</v>
      </c>
      <c r="Q43" s="180" t="str">
        <f>VLOOKUP($B43,'Standards Crosswalk'!$A:$H,7,FALSE)</f>
        <v>3.1.4</v>
      </c>
      <c r="R43" s="180" t="str">
        <f>VLOOKUP($B43,'Standards Crosswalk'!$A:$H,8,FALSE)</f>
        <v>AC-5</v>
      </c>
      <c r="S43" s="180" t="str">
        <f>VLOOKUP($B43,'Standards Crosswalk'!$A:$I,9,FALSE)</f>
        <v>12.x</v>
      </c>
      <c r="T43" s="164"/>
      <c r="U43" s="164"/>
      <c r="V43" s="164"/>
      <c r="W43" s="164"/>
      <c r="X43" s="164"/>
      <c r="Y43" s="164"/>
      <c r="Z43" s="164"/>
    </row>
    <row r="44" ht="13.5" customHeight="1">
      <c r="A44" s="164">
        <f t="shared" si="3"/>
        <v>42</v>
      </c>
      <c r="B44" s="171" t="s">
        <v>261</v>
      </c>
      <c r="C44" s="164" t="str">
        <f>VLOOKUP(B44,HECVAT!A:E,2,FALSE)</f>
        <v>Describe or provide a reference that details how administrator access is handled (e.g. provisioning, principle of least privilege, deprovisioning, etc.)</v>
      </c>
      <c r="D44" s="164" t="str">
        <f>VLOOKUP(B44,HECVAT!A:E,4,FALSE)</f>
        <v/>
      </c>
      <c r="E44" s="174" t="b">
        <f>IF(Questions!$K44&gt;20,TRUE,FALSE)</f>
        <v>1</v>
      </c>
      <c r="F44" s="204" t="s">
        <v>2755</v>
      </c>
      <c r="G44" s="171" t="s">
        <v>92</v>
      </c>
      <c r="H44" s="176">
        <v>1.0</v>
      </c>
      <c r="I44" s="164" t="str">
        <f>VLOOKUP(B44,HECVAT!A:E,3,FALSE)</f>
        <v>Administrator provisioning is done by: SSO auth, by invitation from the Ivy team, or manually added by the Ivy security team.</v>
      </c>
      <c r="J44" s="164">
        <f>IF(VLOOKUP(Questions!$B44,'Analyst Report'!$A$38:$G$85,7,FALSE)="Yes",1,0)</f>
        <v>0</v>
      </c>
      <c r="K44" s="164">
        <f>IF(Questions!$H44=1,25,"")</f>
        <v>25</v>
      </c>
      <c r="L44" s="164">
        <f>IF(Questions!$H44=1,J44*K44,"")</f>
        <v>0</v>
      </c>
      <c r="M44" s="180" t="str">
        <f>VLOOKUP($B44,'Standards Crosswalk'!$A:$H,3,FALSE)</f>
        <v>CSC 5</v>
      </c>
      <c r="N44" s="180" t="str">
        <f>VLOOKUP($B44,'Standards Crosswalk'!$A:$H,4,FALSE)</f>
        <v/>
      </c>
      <c r="O44" s="180">
        <f>VLOOKUP($B44,'Standards Crosswalk'!$A:$H,5,FALSE)</f>
        <v>9.2</v>
      </c>
      <c r="P44" s="180" t="str">
        <f>VLOOKUP($B44,'Standards Crosswalk'!$A:$H,6,FALSE)</f>
        <v>PR.AC-4, PR.PT-3</v>
      </c>
      <c r="Q44" s="180" t="str">
        <f>VLOOKUP($B44,'Standards Crosswalk'!$A:$H,7,FALSE)</f>
        <v>3.1.1, 3.1.5, 3.1.6, 3.7.1, 3.7.2</v>
      </c>
      <c r="R44" s="180" t="str">
        <f>VLOOKUP($B44,'Standards Crosswalk'!$A:$H,8,FALSE)</f>
        <v>AC-2, AC-3, AC-6, MA-2, MA-3</v>
      </c>
      <c r="S44" s="180" t="str">
        <f>VLOOKUP($B44,'Standards Crosswalk'!$A:$I,9,FALSE)</f>
        <v>7.x, 8.x</v>
      </c>
      <c r="T44" s="164"/>
      <c r="U44" s="164"/>
      <c r="V44" s="164"/>
      <c r="W44" s="164"/>
      <c r="X44" s="164"/>
      <c r="Y44" s="164"/>
      <c r="Z44" s="164"/>
    </row>
    <row r="45" ht="13.5" customHeight="1">
      <c r="A45" s="164">
        <f t="shared" si="3"/>
        <v>43</v>
      </c>
      <c r="B45" s="171" t="s">
        <v>278</v>
      </c>
      <c r="C45" s="164" t="str">
        <f>VLOOKUP(B45,HECVAT!A:E,2,FALSE)</f>
        <v>Does the system provide data input validation and error messages? </v>
      </c>
      <c r="D45" s="212" t="str">
        <f>VLOOKUP(B45,HECVAT!A:E,4,FALSE)</f>
        <v/>
      </c>
      <c r="E45" s="174" t="b">
        <f>IF(Questions!$K45&gt;20,TRUE,FALSE)</f>
        <v>0</v>
      </c>
      <c r="F45" s="204" t="s">
        <v>2755</v>
      </c>
      <c r="G45" s="171" t="s">
        <v>92</v>
      </c>
      <c r="H45" s="176">
        <v>1.0</v>
      </c>
      <c r="I45" s="164" t="str">
        <f>VLOOKUP(B45,HECVAT!A:E,3,FALSE)</f>
        <v>Yes</v>
      </c>
      <c r="J45" s="164">
        <f>IF(Questions!$G45=Questions!$I45,1,0)</f>
        <v>1</v>
      </c>
      <c r="K45" s="164">
        <f>IF(Questions!$H45=1,15,"")</f>
        <v>15</v>
      </c>
      <c r="L45" s="164">
        <f>IF(Questions!$H45=1,J45*K45,"")</f>
        <v>15</v>
      </c>
      <c r="M45" s="180" t="str">
        <f>VLOOKUP($B45,'Standards Crosswalk'!$A:$H,3,FALSE)</f>
        <v>CSC 14</v>
      </c>
      <c r="N45" s="180" t="str">
        <f>VLOOKUP($B45,'Standards Crosswalk'!$A:$H,4,FALSE)</f>
        <v/>
      </c>
      <c r="O45" s="180" t="str">
        <f>VLOOKUP($B45,'Standards Crosswalk'!$A:$H,5,FALSE)</f>
        <v>9.1.1</v>
      </c>
      <c r="P45" s="180" t="str">
        <f>VLOOKUP($B45,'Standards Crosswalk'!$A:$H,6,FALSE)</f>
        <v>PR.AC-4</v>
      </c>
      <c r="Q45" s="180" t="str">
        <f>VLOOKUP($B45,'Standards Crosswalk'!$A:$H,7,FALSE)</f>
        <v>3.1.2</v>
      </c>
      <c r="R45" s="180" t="str">
        <f>VLOOKUP($B45,'Standards Crosswalk'!$A:$H,8,FALSE)</f>
        <v/>
      </c>
      <c r="S45" s="180" t="str">
        <f>VLOOKUP($B45,'Standards Crosswalk'!$A:$I,9,FALSE)</f>
        <v/>
      </c>
      <c r="T45" s="164"/>
      <c r="U45" s="164"/>
      <c r="V45" s="164"/>
      <c r="W45" s="164"/>
      <c r="X45" s="164"/>
      <c r="Y45" s="164"/>
      <c r="Z45" s="164"/>
    </row>
    <row r="46" ht="13.5" customHeight="1">
      <c r="A46" s="164">
        <f t="shared" si="3"/>
        <v>44</v>
      </c>
      <c r="B46" s="171" t="s">
        <v>282</v>
      </c>
      <c r="C46" s="164" t="str">
        <f>VLOOKUP(B46,HECVAT!A:E,2,FALSE)</f>
        <v>Describe or provide references explaining how tertiary services are redundant (i.e. DNS, ISP, etc…).</v>
      </c>
      <c r="D46" s="164" t="str">
        <f>VLOOKUP(B46,HECVAT!A:E,4,FALSE)</f>
        <v/>
      </c>
      <c r="E46" s="174" t="b">
        <f>IF(Questions!$K46&gt;20,TRUE,FALSE)</f>
        <v>0</v>
      </c>
      <c r="F46" s="204" t="s">
        <v>2755</v>
      </c>
      <c r="G46" s="171" t="s">
        <v>92</v>
      </c>
      <c r="H46" s="176">
        <v>1.0</v>
      </c>
      <c r="I46" s="164" t="str">
        <f>VLOOKUP(B46,HECVAT!A:E,3,FALSE)</f>
        <v>LAN/WAN redundancy, POP</v>
      </c>
      <c r="J46" s="164">
        <f>IF(VLOOKUP(Questions!$B46,'Analyst Report'!$A$38:$G$85,7,FALSE)="Yes",1,0)</f>
        <v>0</v>
      </c>
      <c r="K46" s="164">
        <f>IF(Questions!$H46=1,15,"")</f>
        <v>15</v>
      </c>
      <c r="L46" s="164">
        <f>IF(Questions!$H46=1,J46*K46,"")</f>
        <v>0</v>
      </c>
      <c r="M46" s="180" t="str">
        <f>VLOOKUP($B46,'Standards Crosswalk'!$A:$H,3,FALSE)</f>
        <v/>
      </c>
      <c r="N46" s="180" t="str">
        <f>VLOOKUP($B46,'Standards Crosswalk'!$A:$H,4,FALSE)</f>
        <v/>
      </c>
      <c r="O46" s="180" t="str">
        <f>VLOOKUP($B46,'Standards Crosswalk'!$A:$H,5,FALSE)</f>
        <v/>
      </c>
      <c r="P46" s="180" t="str">
        <f>VLOOKUP($B46,'Standards Crosswalk'!$A:$H,6,FALSE)</f>
        <v/>
      </c>
      <c r="Q46" s="180" t="str">
        <f>VLOOKUP($B46,'Standards Crosswalk'!$A:$H,7,FALSE)</f>
        <v/>
      </c>
      <c r="R46" s="180" t="str">
        <f>VLOOKUP($B46,'Standards Crosswalk'!$A:$H,8,FALSE)</f>
        <v/>
      </c>
      <c r="S46" s="180" t="str">
        <f>VLOOKUP($B46,'Standards Crosswalk'!$A:$I,9,FALSE)</f>
        <v>Scope</v>
      </c>
      <c r="T46" s="164"/>
      <c r="U46" s="164"/>
      <c r="V46" s="164"/>
      <c r="W46" s="164"/>
      <c r="X46" s="164"/>
      <c r="Y46" s="164"/>
      <c r="Z46" s="164"/>
    </row>
    <row r="47" ht="13.5" customHeight="1">
      <c r="A47" s="164">
        <f t="shared" si="3"/>
        <v>45</v>
      </c>
      <c r="B47" s="171" t="s">
        <v>293</v>
      </c>
      <c r="C47" s="164" t="str">
        <f>VLOOKUP(B47,HECVAT!A:E,2,FALSE)</f>
        <v>Can you enforce password/passphrase aging requirements?</v>
      </c>
      <c r="D47" s="212" t="str">
        <f>VLOOKUP(B47,HECVAT!A:E,4,FALSE)</f>
        <v/>
      </c>
      <c r="E47" s="174" t="b">
        <f>IF(Questions!$K47&gt;20,TRUE,FALSE)</f>
        <v>1</v>
      </c>
      <c r="F47" s="174" t="s">
        <v>2736</v>
      </c>
      <c r="G47" s="171" t="s">
        <v>92</v>
      </c>
      <c r="H47" s="176">
        <v>1.0</v>
      </c>
      <c r="I47" s="164" t="str">
        <f>VLOOKUP(B47,HECVAT!A:E,3,FALSE)</f>
        <v>Yes</v>
      </c>
      <c r="J47" s="164">
        <f>IF(Questions!$G47=Questions!$I47,1,0)</f>
        <v>1</v>
      </c>
      <c r="K47" s="164">
        <f>IF(Questions!$H47=1,25,"")</f>
        <v>25</v>
      </c>
      <c r="L47" s="164">
        <f>IF(Questions!$H47=1,J47*K47,"")</f>
        <v>25</v>
      </c>
      <c r="M47" s="180" t="str">
        <f>VLOOKUP($B47,'Standards Crosswalk'!$A:$H,3,FALSE)</f>
        <v>CSC 16</v>
      </c>
      <c r="N47" s="180" t="str">
        <f>VLOOKUP($B47,'Standards Crosswalk'!$A:$H,4,FALSE)</f>
        <v/>
      </c>
      <c r="O47" s="180" t="str">
        <f>VLOOKUP($B47,'Standards Crosswalk'!$A:$H,5,FALSE)</f>
        <v>9.2.3, 9.3.1, 9.4.3</v>
      </c>
      <c r="P47" s="180" t="str">
        <f>VLOOKUP($B47,'Standards Crosswalk'!$A:$H,6,FALSE)</f>
        <v>PR.AC-1</v>
      </c>
      <c r="Q47" s="180" t="str">
        <f>VLOOKUP($B47,'Standards Crosswalk'!$A:$H,7,FALSE)</f>
        <v>3.5.6</v>
      </c>
      <c r="R47" s="180" t="str">
        <f>VLOOKUP($B47,'Standards Crosswalk'!$A:$H,8,FALSE)</f>
        <v>IA-4</v>
      </c>
      <c r="S47" s="180" t="str">
        <f>VLOOKUP($B47,'Standards Crosswalk'!$A:$I,9,FALSE)</f>
        <v>8.x</v>
      </c>
      <c r="T47" s="164"/>
      <c r="U47" s="164"/>
      <c r="V47" s="164"/>
      <c r="W47" s="164"/>
      <c r="X47" s="164"/>
      <c r="Y47" s="164"/>
      <c r="Z47" s="164"/>
    </row>
    <row r="48" ht="13.5" customHeight="1">
      <c r="A48" s="164">
        <f t="shared" si="3"/>
        <v>46</v>
      </c>
      <c r="B48" s="171" t="s">
        <v>300</v>
      </c>
      <c r="C48" s="164" t="str">
        <f>VLOOKUP(B48,HECVAT!A:E,2,FALSE)</f>
        <v>Can you enforce password/passphrase complexity requirements [provided by the institution]?</v>
      </c>
      <c r="D48" s="212" t="str">
        <f>VLOOKUP(B48,HECVAT!A:E,4,FALSE)</f>
        <v/>
      </c>
      <c r="E48" s="174" t="b">
        <f>IF(Questions!$K48&gt;20,TRUE,FALSE)</f>
        <v>1</v>
      </c>
      <c r="F48" s="174" t="s">
        <v>2736</v>
      </c>
      <c r="G48" s="171" t="s">
        <v>92</v>
      </c>
      <c r="H48" s="176">
        <v>1.0</v>
      </c>
      <c r="I48" s="164" t="str">
        <f>VLOOKUP(B48,HECVAT!A:E,3,FALSE)</f>
        <v>Yes</v>
      </c>
      <c r="J48" s="164">
        <f>IF(Questions!$G48=Questions!$I48,1,0)</f>
        <v>1</v>
      </c>
      <c r="K48" s="164">
        <f>IF(Questions!$H48=1,25,"")</f>
        <v>25</v>
      </c>
      <c r="L48" s="164">
        <f>IF(Questions!$H48=1,J48*K48,"")</f>
        <v>25</v>
      </c>
      <c r="M48" s="180" t="str">
        <f>VLOOKUP($B48,'Standards Crosswalk'!$A:$H,3,FALSE)</f>
        <v>CSC 16</v>
      </c>
      <c r="N48" s="180" t="str">
        <f>VLOOKUP($B48,'Standards Crosswalk'!$A:$H,4,FALSE)</f>
        <v/>
      </c>
      <c r="O48" s="180" t="str">
        <f>VLOOKUP($B48,'Standards Crosswalk'!$A:$H,5,FALSE)</f>
        <v>9.2.3, 9.3.1, 9.4.3</v>
      </c>
      <c r="P48" s="180" t="str">
        <f>VLOOKUP($B48,'Standards Crosswalk'!$A:$H,6,FALSE)</f>
        <v>PR.AC-1</v>
      </c>
      <c r="Q48" s="180" t="str">
        <f>VLOOKUP($B48,'Standards Crosswalk'!$A:$H,7,FALSE)</f>
        <v>3.5.7</v>
      </c>
      <c r="R48" s="180" t="str">
        <f>VLOOKUP($B48,'Standards Crosswalk'!$A:$H,8,FALSE)</f>
        <v>IA-5(1)</v>
      </c>
      <c r="S48" s="180" t="str">
        <f>VLOOKUP($B48,'Standards Crosswalk'!$A:$I,9,FALSE)</f>
        <v>8.x</v>
      </c>
      <c r="T48" s="164"/>
      <c r="U48" s="164"/>
      <c r="V48" s="164"/>
      <c r="W48" s="164"/>
      <c r="X48" s="164"/>
      <c r="Y48" s="164"/>
      <c r="Z48" s="164"/>
    </row>
    <row r="49" ht="13.5" customHeight="1">
      <c r="A49" s="164">
        <f t="shared" si="3"/>
        <v>47</v>
      </c>
      <c r="B49" s="171" t="s">
        <v>307</v>
      </c>
      <c r="C49" s="164" t="str">
        <f>VLOOKUP(B49,HECVAT!A:E,2,FALSE)</f>
        <v>Does the system have password complexity or length limitations and/or restrictions?</v>
      </c>
      <c r="D49" s="164" t="str">
        <f>VLOOKUP(B49,HECVAT!A:E,4,FALSE)</f>
        <v/>
      </c>
      <c r="E49" s="174" t="b">
        <f>IF(Questions!$K49&gt;20,TRUE,FALSE)</f>
        <v>1</v>
      </c>
      <c r="F49" s="174" t="s">
        <v>2736</v>
      </c>
      <c r="G49" s="171" t="s">
        <v>92</v>
      </c>
      <c r="H49" s="176">
        <v>1.0</v>
      </c>
      <c r="I49" s="164" t="str">
        <f>VLOOKUP(B49,HECVAT!A:E,3,FALSE)</f>
        <v>Minimum 8; No spaces</v>
      </c>
      <c r="J49" s="164">
        <f>IF(Questions!$G49=Questions!$I49,1,0)</f>
        <v>0</v>
      </c>
      <c r="K49" s="164">
        <f>IF(Questions!$H49=1,25,"")</f>
        <v>25</v>
      </c>
      <c r="L49" s="164">
        <f>IF(Questions!$H49=1,J49*K49,"")</f>
        <v>0</v>
      </c>
      <c r="M49" s="180" t="str">
        <f>VLOOKUP($B49,'Standards Crosswalk'!$A:$H,3,FALSE)</f>
        <v>CSC 16</v>
      </c>
      <c r="N49" s="180" t="str">
        <f>VLOOKUP($B49,'Standards Crosswalk'!$A:$H,4,FALSE)</f>
        <v/>
      </c>
      <c r="O49" s="180" t="str">
        <f>VLOOKUP($B49,'Standards Crosswalk'!$A:$H,5,FALSE)</f>
        <v>9.2.3, 9.3.1, 9.4.3</v>
      </c>
      <c r="P49" s="180" t="str">
        <f>VLOOKUP($B49,'Standards Crosswalk'!$A:$H,6,FALSE)</f>
        <v>PR.AC-1</v>
      </c>
      <c r="Q49" s="180" t="str">
        <f>VLOOKUP($B49,'Standards Crosswalk'!$A:$H,7,FALSE)</f>
        <v/>
      </c>
      <c r="R49" s="180" t="str">
        <f>VLOOKUP($B49,'Standards Crosswalk'!$A:$H,8,FALSE)</f>
        <v/>
      </c>
      <c r="S49" s="180" t="str">
        <f>VLOOKUP($B49,'Standards Crosswalk'!$A:$I,9,FALSE)</f>
        <v>8.x</v>
      </c>
      <c r="T49" s="164"/>
      <c r="U49" s="164"/>
      <c r="V49" s="164"/>
      <c r="W49" s="164"/>
      <c r="X49" s="164"/>
      <c r="Y49" s="164"/>
      <c r="Z49" s="164"/>
    </row>
    <row r="50" ht="13.5" customHeight="1">
      <c r="A50" s="164">
        <f t="shared" si="3"/>
        <v>48</v>
      </c>
      <c r="B50" s="171" t="s">
        <v>310</v>
      </c>
      <c r="C50" s="164" t="str">
        <f>VLOOKUP(B50,HECVAT!A:E,2,FALSE)</f>
        <v>Do you have documented password/passphrase reset procedures that are currently implemented in the system and/or customer support?</v>
      </c>
      <c r="D50" s="164" t="str">
        <f>VLOOKUP(B50,HECVAT!A:E,4,FALSE)</f>
        <v/>
      </c>
      <c r="E50" s="174" t="b">
        <f>IF(Questions!$K50&gt;20,TRUE,FALSE)</f>
        <v>0</v>
      </c>
      <c r="F50" s="174" t="s">
        <v>2736</v>
      </c>
      <c r="G50" s="171" t="s">
        <v>92</v>
      </c>
      <c r="H50" s="176">
        <v>1.0</v>
      </c>
      <c r="I50" s="164" t="str">
        <f>VLOOKUP(B50,HECVAT!A:E,3,FALSE)</f>
        <v>Password reset via email</v>
      </c>
      <c r="J50" s="164">
        <f>IF(Questions!$G50=Questions!$I50,1,0)</f>
        <v>0</v>
      </c>
      <c r="K50" s="164">
        <f>IF(Questions!$H50=1,20,"")</f>
        <v>20</v>
      </c>
      <c r="L50" s="164">
        <f>IF(Questions!$H50=1,J50*K50,"")</f>
        <v>0</v>
      </c>
      <c r="M50" s="180" t="str">
        <f>VLOOKUP($B50,'Standards Crosswalk'!$A:$H,3,FALSE)</f>
        <v>CSC 16</v>
      </c>
      <c r="N50" s="180" t="str">
        <f>VLOOKUP($B50,'Standards Crosswalk'!$A:$H,4,FALSE)</f>
        <v/>
      </c>
      <c r="O50" s="180" t="str">
        <f>VLOOKUP($B50,'Standards Crosswalk'!$A:$H,5,FALSE)</f>
        <v>9.2.3, 9.3.1, 9.4.3</v>
      </c>
      <c r="P50" s="180" t="str">
        <f>VLOOKUP($B50,'Standards Crosswalk'!$A:$H,6,FALSE)</f>
        <v>PR.AC-1</v>
      </c>
      <c r="Q50" s="180" t="str">
        <f>VLOOKUP($B50,'Standards Crosswalk'!$A:$H,7,FALSE)</f>
        <v>3.5.5, 3.5.8</v>
      </c>
      <c r="R50" s="180" t="str">
        <f>VLOOKUP($B50,'Standards Crosswalk'!$A:$H,8,FALSE)</f>
        <v>IA-4</v>
      </c>
      <c r="S50" s="180" t="str">
        <f>VLOOKUP($B50,'Standards Crosswalk'!$A:$I,9,FALSE)</f>
        <v>2.1, 8.x</v>
      </c>
      <c r="T50" s="164"/>
      <c r="U50" s="164"/>
      <c r="V50" s="164"/>
      <c r="W50" s="164"/>
      <c r="X50" s="164"/>
      <c r="Y50" s="164"/>
      <c r="Z50" s="164"/>
    </row>
    <row r="51" ht="13.5" customHeight="1">
      <c r="A51" s="164">
        <f t="shared" si="3"/>
        <v>49</v>
      </c>
      <c r="B51" s="171" t="s">
        <v>313</v>
      </c>
      <c r="C51" s="164" t="str">
        <f>VLOOKUP(B51,HECVAT!A:E,2,FALSE)</f>
        <v>Does your web-based interface support authentication, including standards-based single-sign-on? (e.g. InCommon)</v>
      </c>
      <c r="D51" s="164" t="str">
        <f>VLOOKUP(B51,HECVAT!A:E,4,FALSE)</f>
        <v>SSO SAML 2.0</v>
      </c>
      <c r="E51" s="174" t="b">
        <f>IF(Questions!$K51&gt;20,TRUE,FALSE)</f>
        <v>1</v>
      </c>
      <c r="F51" s="174" t="s">
        <v>2736</v>
      </c>
      <c r="G51" s="171" t="s">
        <v>92</v>
      </c>
      <c r="H51" s="176">
        <v>1.0</v>
      </c>
      <c r="I51" s="164" t="str">
        <f>VLOOKUP(B51,HECVAT!A:E,3,FALSE)</f>
        <v>Yes</v>
      </c>
      <c r="J51" s="164">
        <f>IF(Questions!$G51=Questions!$I51,1,0)</f>
        <v>1</v>
      </c>
      <c r="K51" s="164">
        <f>IF(Questions!$H51=1,40,"")</f>
        <v>40</v>
      </c>
      <c r="L51" s="164">
        <f>IF(Questions!$H51=1,J51*K51,"")</f>
        <v>40</v>
      </c>
      <c r="M51" s="180" t="str">
        <f>VLOOKUP($B51,'Standards Crosswalk'!$A:$H,3,FALSE)</f>
        <v>CSC 16</v>
      </c>
      <c r="N51" s="180" t="str">
        <f>VLOOKUP($B51,'Standards Crosswalk'!$A:$H,4,FALSE)</f>
        <v/>
      </c>
      <c r="O51" s="180" t="str">
        <f>VLOOKUP($B51,'Standards Crosswalk'!$A:$H,5,FALSE)</f>
        <v>9.1.1, 9.2.3, 9.3.1, 9.4.3</v>
      </c>
      <c r="P51" s="180" t="str">
        <f>VLOOKUP($B51,'Standards Crosswalk'!$A:$H,6,FALSE)</f>
        <v>PR.AC-1</v>
      </c>
      <c r="Q51" s="180" t="str">
        <f>VLOOKUP($B51,'Standards Crosswalk'!$A:$H,7,FALSE)</f>
        <v>3.5.1</v>
      </c>
      <c r="R51" s="180" t="str">
        <f>VLOOKUP($B51,'Standards Crosswalk'!$A:$H,8,FALSE)</f>
        <v>IA-2, IA-5</v>
      </c>
      <c r="S51" s="180" t="str">
        <f>VLOOKUP($B51,'Standards Crosswalk'!$A:$I,9,FALSE)</f>
        <v>8.x</v>
      </c>
      <c r="T51" s="164"/>
      <c r="U51" s="164"/>
      <c r="V51" s="164"/>
      <c r="W51" s="164"/>
      <c r="X51" s="164"/>
      <c r="Y51" s="164"/>
      <c r="Z51" s="164"/>
    </row>
    <row r="52" ht="13.5" customHeight="1">
      <c r="A52" s="164">
        <f t="shared" si="3"/>
        <v>50</v>
      </c>
      <c r="B52" s="171" t="s">
        <v>316</v>
      </c>
      <c r="C52" s="164" t="str">
        <f>VLOOKUP(B52,HECVAT!A:E,2,FALSE)</f>
        <v>Are there any passwords/passphrases hard coded into your systems or products?</v>
      </c>
      <c r="D52" s="212" t="str">
        <f>VLOOKUP(B52,HECVAT!A:E,4,FALSE)</f>
        <v/>
      </c>
      <c r="E52" s="174" t="b">
        <f>IF(Questions!$K52&gt;20,TRUE,FALSE)</f>
        <v>1</v>
      </c>
      <c r="F52" s="174" t="s">
        <v>2736</v>
      </c>
      <c r="G52" s="171" t="s">
        <v>85</v>
      </c>
      <c r="H52" s="176">
        <v>1.0</v>
      </c>
      <c r="I52" s="164" t="str">
        <f>VLOOKUP(B52,HECVAT!A:E,3,FALSE)</f>
        <v>No</v>
      </c>
      <c r="J52" s="164">
        <f>IF(Questions!$G52=Questions!$I52,1,0)</f>
        <v>1</v>
      </c>
      <c r="K52" s="164">
        <f>IF(Questions!$H52=1,40,"")</f>
        <v>40</v>
      </c>
      <c r="L52" s="164">
        <f>IF(Questions!$H52=1,J52*K52,"")</f>
        <v>40</v>
      </c>
      <c r="M52" s="180" t="str">
        <f>VLOOKUP($B52,'Standards Crosswalk'!$A:$H,3,FALSE)</f>
        <v>CSC 16</v>
      </c>
      <c r="N52" s="180" t="str">
        <f>VLOOKUP($B52,'Standards Crosswalk'!$A:$H,4,FALSE)</f>
        <v/>
      </c>
      <c r="O52" s="180" t="str">
        <f>VLOOKUP($B52,'Standards Crosswalk'!$A:$H,5,FALSE)</f>
        <v>9</v>
      </c>
      <c r="P52" s="180" t="str">
        <f>VLOOKUP($B52,'Standards Crosswalk'!$A:$H,6,FALSE)</f>
        <v/>
      </c>
      <c r="Q52" s="180" t="str">
        <f>VLOOKUP($B52,'Standards Crosswalk'!$A:$H,7,FALSE)</f>
        <v/>
      </c>
      <c r="R52" s="180" t="str">
        <f>VLOOKUP($B52,'Standards Crosswalk'!$A:$H,8,FALSE)</f>
        <v/>
      </c>
      <c r="S52" s="180" t="str">
        <f>VLOOKUP($B52,'Standards Crosswalk'!$A:$I,9,FALSE)</f>
        <v>2.1, 8.x</v>
      </c>
      <c r="T52" s="164"/>
      <c r="U52" s="164"/>
      <c r="V52" s="164"/>
      <c r="W52" s="164"/>
      <c r="X52" s="164"/>
      <c r="Y52" s="164"/>
      <c r="Z52" s="164"/>
    </row>
    <row r="53" ht="13.5" customHeight="1">
      <c r="A53" s="164">
        <f t="shared" si="3"/>
        <v>51</v>
      </c>
      <c r="B53" s="171" t="s">
        <v>319</v>
      </c>
      <c r="C53" s="164" t="str">
        <f>VLOOKUP(B53,HECVAT!A:E,2,FALSE)</f>
        <v>Are user account passwords/passphrases visible in administration modules?</v>
      </c>
      <c r="D53" s="212" t="str">
        <f>VLOOKUP(B53,HECVAT!A:E,4,FALSE)</f>
        <v/>
      </c>
      <c r="E53" s="174" t="b">
        <f>IF(Questions!$K53&gt;20,TRUE,FALSE)</f>
        <v>1</v>
      </c>
      <c r="F53" s="174" t="s">
        <v>2736</v>
      </c>
      <c r="G53" s="171" t="s">
        <v>85</v>
      </c>
      <c r="H53" s="176">
        <v>1.0</v>
      </c>
      <c r="I53" s="164" t="str">
        <f>VLOOKUP(B53,HECVAT!A:E,3,FALSE)</f>
        <v>No</v>
      </c>
      <c r="J53" s="164">
        <f>IF(Questions!$G53=Questions!$I53,1,0)</f>
        <v>1</v>
      </c>
      <c r="K53" s="164">
        <f>IF(Questions!$H53=1,25,"")</f>
        <v>25</v>
      </c>
      <c r="L53" s="164">
        <f>IF(Questions!$H53=1,J53*K53,"")</f>
        <v>25</v>
      </c>
      <c r="M53" s="180" t="str">
        <f>VLOOKUP($B53,'Standards Crosswalk'!$A:$H,3,FALSE)</f>
        <v>CSC 16</v>
      </c>
      <c r="N53" s="180" t="str">
        <f>VLOOKUP($B53,'Standards Crosswalk'!$A:$H,4,FALSE)</f>
        <v/>
      </c>
      <c r="O53" s="180" t="str">
        <f>VLOOKUP($B53,'Standards Crosswalk'!$A:$H,5,FALSE)</f>
        <v>9</v>
      </c>
      <c r="P53" s="180" t="str">
        <f>VLOOKUP($B53,'Standards Crosswalk'!$A:$H,6,FALSE)</f>
        <v>PR.AC-1</v>
      </c>
      <c r="Q53" s="180" t="str">
        <f>VLOOKUP($B53,'Standards Crosswalk'!$A:$H,7,FALSE)</f>
        <v/>
      </c>
      <c r="R53" s="180" t="str">
        <f>VLOOKUP($B53,'Standards Crosswalk'!$A:$H,8,FALSE)</f>
        <v/>
      </c>
      <c r="S53" s="180" t="str">
        <f>VLOOKUP($B53,'Standards Crosswalk'!$A:$I,9,FALSE)</f>
        <v>8.x</v>
      </c>
      <c r="T53" s="164"/>
      <c r="U53" s="164"/>
      <c r="V53" s="164"/>
      <c r="W53" s="164"/>
      <c r="X53" s="164"/>
      <c r="Y53" s="164"/>
      <c r="Z53" s="164"/>
    </row>
    <row r="54" ht="13.5" customHeight="1">
      <c r="A54" s="164">
        <f t="shared" si="3"/>
        <v>52</v>
      </c>
      <c r="B54" s="171" t="s">
        <v>328</v>
      </c>
      <c r="C54" s="164" t="str">
        <f>VLOOKUP(B54,HECVAT!A:E,2,FALSE)</f>
        <v>Are user account passwords/passphrases stored encrypted?</v>
      </c>
      <c r="D54" s="212" t="str">
        <f>VLOOKUP(B54,HECVAT!A:E,4,FALSE)</f>
        <v/>
      </c>
      <c r="E54" s="174" t="b">
        <f>IF(Questions!$K54&gt;20,TRUE,FALSE)</f>
        <v>1</v>
      </c>
      <c r="F54" s="174" t="s">
        <v>2736</v>
      </c>
      <c r="G54" s="171" t="s">
        <v>92</v>
      </c>
      <c r="H54" s="176">
        <v>1.0</v>
      </c>
      <c r="I54" s="164" t="str">
        <f>VLOOKUP(B54,HECVAT!A:E,3,FALSE)</f>
        <v>Yes</v>
      </c>
      <c r="J54" s="164">
        <f>IF(Questions!$G54=Questions!$I54,1,0)</f>
        <v>1</v>
      </c>
      <c r="K54" s="164">
        <f>IF(Questions!$H54=1,40,"")</f>
        <v>40</v>
      </c>
      <c r="L54" s="164">
        <f>IF(Questions!$H54=1,J54*K54,"")</f>
        <v>40</v>
      </c>
      <c r="M54" s="180" t="str">
        <f>VLOOKUP($B54,'Standards Crosswalk'!$A:$H,3,FALSE)</f>
        <v>CSC 16</v>
      </c>
      <c r="N54" s="180" t="str">
        <f>VLOOKUP($B54,'Standards Crosswalk'!$A:$H,4,FALSE)</f>
        <v/>
      </c>
      <c r="O54" s="180" t="str">
        <f>VLOOKUP($B54,'Standards Crosswalk'!$A:$H,5,FALSE)</f>
        <v>9</v>
      </c>
      <c r="P54" s="180" t="str">
        <f>VLOOKUP($B54,'Standards Crosswalk'!$A:$H,6,FALSE)</f>
        <v>PR.AC-1</v>
      </c>
      <c r="Q54" s="180" t="str">
        <f>VLOOKUP($B54,'Standards Crosswalk'!$A:$H,7,FALSE)</f>
        <v>3.5.10</v>
      </c>
      <c r="R54" s="180" t="str">
        <f>VLOOKUP($B54,'Standards Crosswalk'!$A:$H,8,FALSE)</f>
        <v>IA-5(1)</v>
      </c>
      <c r="S54" s="180" t="str">
        <f>VLOOKUP($B54,'Standards Crosswalk'!$A:$I,9,FALSE)</f>
        <v>8.x</v>
      </c>
      <c r="T54" s="164"/>
      <c r="U54" s="164"/>
      <c r="V54" s="164"/>
      <c r="W54" s="164"/>
      <c r="X54" s="164"/>
      <c r="Y54" s="164"/>
      <c r="Z54" s="164"/>
    </row>
    <row r="55" ht="13.5" customHeight="1">
      <c r="A55" s="164">
        <f t="shared" si="3"/>
        <v>53</v>
      </c>
      <c r="B55" s="171" t="s">
        <v>332</v>
      </c>
      <c r="C55" s="164" t="str">
        <f>VLOOKUP(B55,HECVAT!A:E,2,FALSE)</f>
        <v>Does your application and/or user-frontend/portal support multi-factor authentication? (e.g. Duo, Google Authenticator, OTP, etc.)</v>
      </c>
      <c r="D55" s="212" t="str">
        <f>VLOOKUP(B55,HECVAT!A:E,4,FALSE)</f>
        <v>We support google and SMS</v>
      </c>
      <c r="E55" s="174" t="b">
        <f>IF(Questions!$K55&gt;20,TRUE,FALSE)</f>
        <v>0</v>
      </c>
      <c r="F55" s="174" t="s">
        <v>2736</v>
      </c>
      <c r="G55" s="171" t="s">
        <v>92</v>
      </c>
      <c r="H55" s="176">
        <v>1.0</v>
      </c>
      <c r="I55" s="164" t="str">
        <f>VLOOKUP(B55,HECVAT!A:E,3,FALSE)</f>
        <v>Yes</v>
      </c>
      <c r="J55" s="164">
        <f>IF(Questions!$G55=Questions!$I55,1,0)</f>
        <v>1</v>
      </c>
      <c r="K55" s="164">
        <f>IF(Questions!$H55=1,20,"")</f>
        <v>20</v>
      </c>
      <c r="L55" s="164">
        <f>IF(Questions!$H55=1,J55*K55,"")</f>
        <v>20</v>
      </c>
      <c r="M55" s="180" t="str">
        <f>VLOOKUP($B55,'Standards Crosswalk'!$A:$H,3,FALSE)</f>
        <v>CSC 16</v>
      </c>
      <c r="N55" s="180" t="str">
        <f>VLOOKUP($B55,'Standards Crosswalk'!$A:$H,4,FALSE)</f>
        <v/>
      </c>
      <c r="O55" s="180" t="str">
        <f>VLOOKUP($B55,'Standards Crosswalk'!$A:$H,5,FALSE)</f>
        <v>9</v>
      </c>
      <c r="P55" s="180" t="str">
        <f>VLOOKUP($B55,'Standards Crosswalk'!$A:$H,6,FALSE)</f>
        <v>PR.AC-4</v>
      </c>
      <c r="Q55" s="180" t="str">
        <f>VLOOKUP($B55,'Standards Crosswalk'!$A:$H,7,FALSE)</f>
        <v>3.5.2, 3.5.3</v>
      </c>
      <c r="R55" s="180" t="str">
        <f>VLOOKUP($B55,'Standards Crosswalk'!$A:$H,8,FALSE)</f>
        <v>IA-5</v>
      </c>
      <c r="S55" s="180" t="str">
        <f>VLOOKUP($B55,'Standards Crosswalk'!$A:$I,9,FALSE)</f>
        <v>8.x</v>
      </c>
      <c r="T55" s="164"/>
      <c r="U55" s="164"/>
      <c r="V55" s="164"/>
      <c r="W55" s="164"/>
      <c r="X55" s="164"/>
      <c r="Y55" s="164"/>
      <c r="Z55" s="164"/>
    </row>
    <row r="56" ht="13.5" customHeight="1">
      <c r="A56" s="164">
        <f t="shared" si="3"/>
        <v>54</v>
      </c>
      <c r="B56" s="171" t="s">
        <v>339</v>
      </c>
      <c r="C56" s="164" t="str">
        <f>VLOOKUP(B56,HECVAT!A:E,2,FALSE)</f>
        <v>Does your application support integration with other authentication and authorization systems?  List which ones (such as Active Directory, Kerberos and what version) in Additional Info?</v>
      </c>
      <c r="D56" s="212" t="str">
        <f>VLOOKUP(B56,HECVAT!A:E,4,FALSE)</f>
        <v>We can support LDAP but we prefer SSO</v>
      </c>
      <c r="E56" s="174" t="b">
        <f>IF(Questions!$K56&gt;20,TRUE,FALSE)</f>
        <v>0</v>
      </c>
      <c r="F56" s="174" t="s">
        <v>2736</v>
      </c>
      <c r="G56" s="171" t="s">
        <v>92</v>
      </c>
      <c r="H56" s="176">
        <v>1.0</v>
      </c>
      <c r="I56" s="164" t="str">
        <f>VLOOKUP(B56,HECVAT!A:E,3,FALSE)</f>
        <v>No</v>
      </c>
      <c r="J56" s="164">
        <f>IF(Questions!$G56=Questions!$I56,1,0)</f>
        <v>0</v>
      </c>
      <c r="K56" s="164">
        <f>IF(Questions!$H56=1,15,"")</f>
        <v>15</v>
      </c>
      <c r="L56" s="164">
        <f>IF(Questions!$H56=1,J56*K56,"")</f>
        <v>0</v>
      </c>
      <c r="M56" s="180" t="str">
        <f>VLOOKUP($B56,'Standards Crosswalk'!$A:$H,3,FALSE)</f>
        <v>CSC 16</v>
      </c>
      <c r="N56" s="180" t="str">
        <f>VLOOKUP($B56,'Standards Crosswalk'!$A:$H,4,FALSE)</f>
        <v/>
      </c>
      <c r="O56" s="180" t="str">
        <f>VLOOKUP($B56,'Standards Crosswalk'!$A:$H,5,FALSE)</f>
        <v>9.4.3</v>
      </c>
      <c r="P56" s="180" t="str">
        <f>VLOOKUP($B56,'Standards Crosswalk'!$A:$H,6,FALSE)</f>
        <v>PR.AC-1, PR.AC-4</v>
      </c>
      <c r="Q56" s="180" t="str">
        <f>VLOOKUP($B56,'Standards Crosswalk'!$A:$H,7,FALSE)</f>
        <v/>
      </c>
      <c r="R56" s="180" t="str">
        <f>VLOOKUP($B56,'Standards Crosswalk'!$A:$H,8,FALSE)</f>
        <v/>
      </c>
      <c r="S56" s="180" t="str">
        <f>VLOOKUP($B56,'Standards Crosswalk'!$A:$I,9,FALSE)</f>
        <v/>
      </c>
      <c r="T56" s="164"/>
      <c r="U56" s="164"/>
      <c r="V56" s="164"/>
      <c r="W56" s="164"/>
      <c r="X56" s="164"/>
      <c r="Y56" s="164"/>
      <c r="Z56" s="164"/>
    </row>
    <row r="57" ht="13.5" customHeight="1">
      <c r="A57" s="164">
        <f t="shared" si="3"/>
        <v>55</v>
      </c>
      <c r="B57" s="171" t="s">
        <v>349</v>
      </c>
      <c r="C57" s="164" t="str">
        <f>VLOOKUP(B57,HECVAT!A:E,2,FALSE)</f>
        <v>Will any external authentication or authorization system be utilized by an application with access to the institution's data?</v>
      </c>
      <c r="D57" s="212" t="str">
        <f>VLOOKUP(B57,HECVAT!A:E,4,FALSE)</f>
        <v/>
      </c>
      <c r="E57" s="174" t="b">
        <f>IF(Questions!$K57&gt;20,TRUE,FALSE)</f>
        <v>1</v>
      </c>
      <c r="F57" s="174" t="s">
        <v>2736</v>
      </c>
      <c r="G57" s="171" t="s">
        <v>85</v>
      </c>
      <c r="H57" s="176">
        <f>IF(I56="Yes",1,0)</f>
        <v>0</v>
      </c>
      <c r="I57" s="212" t="str">
        <f>VLOOKUP(B57,HECVAT!A:E,3,FALSE)</f>
        <v/>
      </c>
      <c r="J57" s="164">
        <f>IF(Questions!$G57=Questions!$I57,1,0)</f>
        <v>0</v>
      </c>
      <c r="K57" s="164" t="str">
        <f>IF(Questions!$H57=1,20,"")</f>
        <v/>
      </c>
      <c r="L57" s="164" t="str">
        <f>IF(Questions!$H57=1,J57*K57,"")</f>
        <v/>
      </c>
      <c r="M57" s="180" t="str">
        <f>VLOOKUP($B57,'Standards Crosswalk'!$A:$H,3,FALSE)</f>
        <v>CSC 16</v>
      </c>
      <c r="N57" s="180" t="str">
        <f>VLOOKUP($B57,'Standards Crosswalk'!$A:$H,4,FALSE)</f>
        <v/>
      </c>
      <c r="O57" s="180" t="str">
        <f>VLOOKUP($B57,'Standards Crosswalk'!$A:$H,5,FALSE)</f>
        <v>9</v>
      </c>
      <c r="P57" s="180" t="str">
        <f>VLOOKUP($B57,'Standards Crosswalk'!$A:$H,6,FALSE)</f>
        <v>PR.AC-1, PR.AC-4</v>
      </c>
      <c r="Q57" s="180" t="str">
        <f>VLOOKUP($B57,'Standards Crosswalk'!$A:$H,7,FALSE)</f>
        <v/>
      </c>
      <c r="R57" s="180" t="str">
        <f>VLOOKUP($B57,'Standards Crosswalk'!$A:$H,8,FALSE)</f>
        <v/>
      </c>
      <c r="S57" s="180" t="str">
        <f>VLOOKUP($B57,'Standards Crosswalk'!$A:$I,9,FALSE)</f>
        <v>8.x</v>
      </c>
      <c r="T57" s="164"/>
      <c r="U57" s="164"/>
      <c r="V57" s="164"/>
      <c r="W57" s="164"/>
      <c r="X57" s="164"/>
      <c r="Y57" s="164"/>
      <c r="Z57" s="164"/>
    </row>
    <row r="58" ht="13.5" customHeight="1">
      <c r="A58" s="164">
        <f t="shared" si="3"/>
        <v>56</v>
      </c>
      <c r="B58" s="171" t="s">
        <v>351</v>
      </c>
      <c r="C58" s="164" t="str">
        <f>VLOOKUP(B58,HECVAT!A:E,2,FALSE)</f>
        <v>Does the system (servers/infrastructure) support external authentication services (e.g. Active Directory, LDAP) in place of local authentication?</v>
      </c>
      <c r="D58" s="212" t="str">
        <f>VLOOKUP(B58,HECVAT!A:E,4,FALSE)</f>
        <v/>
      </c>
      <c r="E58" s="174" t="b">
        <f>IF(Questions!$K58&gt;20,TRUE,FALSE)</f>
        <v>0</v>
      </c>
      <c r="F58" s="174" t="s">
        <v>2736</v>
      </c>
      <c r="G58" s="171" t="s">
        <v>92</v>
      </c>
      <c r="H58" s="176">
        <v>1.0</v>
      </c>
      <c r="I58" s="164" t="str">
        <f>VLOOKUP(B58,HECVAT!A:E,3,FALSE)</f>
        <v>No</v>
      </c>
      <c r="J58" s="164">
        <f>IF(Questions!$G58=Questions!$I58,1,0)</f>
        <v>0</v>
      </c>
      <c r="K58" s="164">
        <f>IF(Questions!$H58=1,20,"")</f>
        <v>20</v>
      </c>
      <c r="L58" s="164">
        <f>IF(Questions!$H58=1,J58*K58,"")</f>
        <v>0</v>
      </c>
      <c r="M58" s="180" t="str">
        <f>VLOOKUP($B58,'Standards Crosswalk'!$A:$H,3,FALSE)</f>
        <v>CSC 16</v>
      </c>
      <c r="N58" s="180" t="str">
        <f>VLOOKUP($B58,'Standards Crosswalk'!$A:$H,4,FALSE)</f>
        <v/>
      </c>
      <c r="O58" s="180" t="str">
        <f>VLOOKUP($B58,'Standards Crosswalk'!$A:$H,5,FALSE)</f>
        <v>9.4.3</v>
      </c>
      <c r="P58" s="180" t="str">
        <f>VLOOKUP($B58,'Standards Crosswalk'!$A:$H,6,FALSE)</f>
        <v>PR.AC-1, PR.AC-4</v>
      </c>
      <c r="Q58" s="180" t="str">
        <f>VLOOKUP($B58,'Standards Crosswalk'!$A:$H,7,FALSE)</f>
        <v/>
      </c>
      <c r="R58" s="180" t="str">
        <f>VLOOKUP($B58,'Standards Crosswalk'!$A:$H,8,FALSE)</f>
        <v/>
      </c>
      <c r="S58" s="180" t="str">
        <f>VLOOKUP($B58,'Standards Crosswalk'!$A:$I,9,FALSE)</f>
        <v/>
      </c>
      <c r="T58" s="164"/>
      <c r="U58" s="164"/>
      <c r="V58" s="164"/>
      <c r="W58" s="164"/>
      <c r="X58" s="164"/>
      <c r="Y58" s="164"/>
      <c r="Z58" s="164"/>
    </row>
    <row r="59" ht="73.5" customHeight="1">
      <c r="A59" s="164">
        <f t="shared" si="3"/>
        <v>57</v>
      </c>
      <c r="B59" s="171" t="s">
        <v>353</v>
      </c>
      <c r="C59" s="164" t="str">
        <f>VLOOKUP(B59,HECVAT!A:E,2,FALSE)</f>
        <v>Does the system operate in a mixed authentication mode (i.e. external and local authentication)?</v>
      </c>
      <c r="D59" s="212" t="str">
        <f>VLOOKUP(B59,HECVAT!A:E,4,FALSE)</f>
        <v/>
      </c>
      <c r="E59" s="174" t="b">
        <f>IF(Questions!$K59&gt;20,TRUE,FALSE)</f>
        <v>1</v>
      </c>
      <c r="F59" s="174" t="s">
        <v>2736</v>
      </c>
      <c r="G59" s="171" t="s">
        <v>85</v>
      </c>
      <c r="H59" s="176">
        <f>IF(I58="Yes",1,0)</f>
        <v>0</v>
      </c>
      <c r="I59" s="212" t="str">
        <f>VLOOKUP(B59,HECVAT!A:E,3,FALSE)</f>
        <v/>
      </c>
      <c r="J59" s="164">
        <f>IF(Questions!$G59=Questions!$I59,1,0)</f>
        <v>0</v>
      </c>
      <c r="K59" s="164" t="str">
        <f>IF(Questions!$H59=1,20,"")</f>
        <v/>
      </c>
      <c r="L59" s="164" t="str">
        <f>IF(Questions!$H59=1,J59*K59,"")</f>
        <v/>
      </c>
      <c r="M59" s="180" t="str">
        <f>VLOOKUP($B59,'Standards Crosswalk'!$A:$H,3,FALSE)</f>
        <v>CSC 16</v>
      </c>
      <c r="N59" s="180" t="str">
        <f>VLOOKUP($B59,'Standards Crosswalk'!$A:$H,4,FALSE)</f>
        <v/>
      </c>
      <c r="O59" s="180" t="str">
        <f>VLOOKUP($B59,'Standards Crosswalk'!$A:$H,5,FALSE)</f>
        <v/>
      </c>
      <c r="P59" s="180" t="str">
        <f>VLOOKUP($B59,'Standards Crosswalk'!$A:$H,6,FALSE)</f>
        <v>PR.AC-1, PR.AC-4</v>
      </c>
      <c r="Q59" s="180" t="str">
        <f>VLOOKUP($B59,'Standards Crosswalk'!$A:$H,7,FALSE)</f>
        <v/>
      </c>
      <c r="R59" s="180" t="str">
        <f>VLOOKUP($B59,'Standards Crosswalk'!$A:$H,8,FALSE)</f>
        <v/>
      </c>
      <c r="S59" s="180" t="str">
        <f>VLOOKUP($B59,'Standards Crosswalk'!$A:$I,9,FALSE)</f>
        <v/>
      </c>
      <c r="T59" s="164"/>
      <c r="U59" s="164"/>
      <c r="V59" s="164"/>
      <c r="W59" s="164"/>
      <c r="X59" s="164"/>
      <c r="Y59" s="164"/>
      <c r="Z59" s="164"/>
    </row>
    <row r="60" ht="73.5" customHeight="1">
      <c r="A60" s="164">
        <f t="shared" si="3"/>
        <v>58</v>
      </c>
      <c r="B60" s="171" t="s">
        <v>356</v>
      </c>
      <c r="C60" s="164" t="str">
        <f>VLOOKUP(B60,HECVAT!A:E,2,FALSE)</f>
        <v>Will any external authentication or authorization system be utilized by a system with access to institution data?</v>
      </c>
      <c r="D60" s="212" t="str">
        <f>VLOOKUP(B60,HECVAT!A:E,4,FALSE)</f>
        <v/>
      </c>
      <c r="E60" s="174" t="b">
        <f>IF(Questions!$K60&gt;20,TRUE,FALSE)</f>
        <v>1</v>
      </c>
      <c r="F60" s="174" t="s">
        <v>2736</v>
      </c>
      <c r="G60" s="171" t="s">
        <v>85</v>
      </c>
      <c r="H60" s="176">
        <f>IF(I58="Yes",1,0)</f>
        <v>0</v>
      </c>
      <c r="I60" s="212" t="str">
        <f>VLOOKUP(B60,HECVAT!A:E,3,FALSE)</f>
        <v/>
      </c>
      <c r="J60" s="164">
        <f>IF(Questions!$G60=Questions!$I60,1,0)</f>
        <v>0</v>
      </c>
      <c r="K60" s="164" t="str">
        <f>IF(Questions!$H60=1,20,"")</f>
        <v/>
      </c>
      <c r="L60" s="164" t="str">
        <f>IF(Questions!$H60=1,J60*K60,"")</f>
        <v/>
      </c>
      <c r="M60" s="180" t="str">
        <f>VLOOKUP($B60,'Standards Crosswalk'!$A:$H,3,FALSE)</f>
        <v>CSC 16</v>
      </c>
      <c r="N60" s="180" t="str">
        <f>VLOOKUP($B60,'Standards Crosswalk'!$A:$H,4,FALSE)</f>
        <v/>
      </c>
      <c r="O60" s="180" t="str">
        <f>VLOOKUP($B60,'Standards Crosswalk'!$A:$H,5,FALSE)</f>
        <v/>
      </c>
      <c r="P60" s="180" t="str">
        <f>VLOOKUP($B60,'Standards Crosswalk'!$A:$H,6,FALSE)</f>
        <v>PR.AC-1, PR.AC-4</v>
      </c>
      <c r="Q60" s="180" t="str">
        <f>VLOOKUP($B60,'Standards Crosswalk'!$A:$H,7,FALSE)</f>
        <v>3.1.1</v>
      </c>
      <c r="R60" s="180" t="str">
        <f>VLOOKUP($B60,'Standards Crosswalk'!$A:$H,8,FALSE)</f>
        <v/>
      </c>
      <c r="S60" s="180" t="str">
        <f>VLOOKUP($B60,'Standards Crosswalk'!$A:$I,9,FALSE)</f>
        <v>8.x</v>
      </c>
      <c r="T60" s="164"/>
      <c r="U60" s="164"/>
      <c r="V60" s="164"/>
      <c r="W60" s="164"/>
      <c r="X60" s="164"/>
      <c r="Y60" s="164"/>
      <c r="Z60" s="164"/>
    </row>
    <row r="61" ht="73.5" customHeight="1">
      <c r="A61" s="164">
        <f t="shared" si="3"/>
        <v>59</v>
      </c>
      <c r="B61" s="171" t="s">
        <v>359</v>
      </c>
      <c r="C61" s="164" t="str">
        <f>VLOOKUP(B61,HECVAT!A:E,2,FALSE)</f>
        <v>Are audit logs available that include AT LEAST all of the following; login, logout, actions performed, and source IP address?</v>
      </c>
      <c r="D61" s="212" t="str">
        <f>VLOOKUP(B61,HECVAT!A:E,4,FALSE)</f>
        <v/>
      </c>
      <c r="E61" s="174" t="b">
        <f>IF(Questions!$K61&gt;20,TRUE,FALSE)</f>
        <v>1</v>
      </c>
      <c r="F61" s="174" t="s">
        <v>2736</v>
      </c>
      <c r="G61" s="171" t="s">
        <v>92</v>
      </c>
      <c r="H61" s="176">
        <v>1.0</v>
      </c>
      <c r="I61" s="164" t="str">
        <f>VLOOKUP(B61,HECVAT!A:E,3,FALSE)</f>
        <v>Yes</v>
      </c>
      <c r="J61" s="164">
        <f>IF(Questions!$G61=Questions!$I61,1,0)</f>
        <v>1</v>
      </c>
      <c r="K61" s="164">
        <f>IF(Questions!$H61=1,25,"")</f>
        <v>25</v>
      </c>
      <c r="L61" s="164">
        <f>IF(Questions!$H61=1,J61*K61,"")</f>
        <v>25</v>
      </c>
      <c r="M61" s="180" t="str">
        <f>VLOOKUP($B61,'Standards Crosswalk'!$A:$H,3,FALSE)</f>
        <v>CSC 6</v>
      </c>
      <c r="N61" s="180" t="str">
        <f>VLOOKUP($B61,'Standards Crosswalk'!$A:$H,4,FALSE)</f>
        <v/>
      </c>
      <c r="O61" s="180" t="str">
        <f>VLOOKUP($B61,'Standards Crosswalk'!$A:$H,5,FALSE)</f>
        <v>12.4</v>
      </c>
      <c r="P61" s="180" t="str">
        <f>VLOOKUP($B61,'Standards Crosswalk'!$A:$H,6,FALSE)</f>
        <v>PR.PT-1</v>
      </c>
      <c r="Q61" s="180" t="str">
        <f>VLOOKUP($B61,'Standards Crosswalk'!$A:$H,7,FALSE)</f>
        <v>3.1.7, 3.3.1</v>
      </c>
      <c r="R61" s="180" t="str">
        <f>VLOOKUP($B61,'Standards Crosswalk'!$A:$H,8,FALSE)</f>
        <v>AC-6(1,3,9), AU-2, AU-2(3), AU-3, AU-7, AU-9(4), AU-12, NIST 800-92</v>
      </c>
      <c r="S61" s="180" t="str">
        <f>VLOOKUP($B61,'Standards Crosswalk'!$A:$I,9,FALSE)</f>
        <v>10.1, 10.2, 10.3, 10.5, 10.6, 10.7</v>
      </c>
      <c r="T61" s="164"/>
      <c r="U61" s="164"/>
      <c r="V61" s="164"/>
      <c r="W61" s="164"/>
      <c r="X61" s="164"/>
      <c r="Y61" s="164"/>
      <c r="Z61" s="164"/>
    </row>
    <row r="62" ht="73.5" customHeight="1">
      <c r="A62" s="164">
        <f t="shared" si="3"/>
        <v>60</v>
      </c>
      <c r="B62" s="171" t="s">
        <v>367</v>
      </c>
      <c r="C62" s="164" t="str">
        <f>VLOOKUP(B62,HECVAT!A:E,2,FALSE)</f>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v>
      </c>
      <c r="D62" s="164" t="str">
        <f>VLOOKUP(B62,HECVAT!A:E,4,FALSE)</f>
        <v/>
      </c>
      <c r="E62" s="174" t="b">
        <f>IF(Questions!$K62&gt;20,TRUE,FALSE)</f>
        <v>1</v>
      </c>
      <c r="F62" s="174" t="s">
        <v>2736</v>
      </c>
      <c r="G62" s="171" t="s">
        <v>85</v>
      </c>
      <c r="H62" s="176">
        <v>1.0</v>
      </c>
      <c r="I62" s="164" t="str">
        <f>VLOOKUP(B62,HECVAT!A:E,3,FALSE)</f>
        <v>Audit logs are kept for all security related events (login/out, login failures, password resets, 2 factor logs)</v>
      </c>
      <c r="J62" s="164">
        <f>IF(VLOOKUP(Questions!$B62,'Analyst Report'!$A$38:$G$85,7,FALSE)="Yes",1,0)</f>
        <v>0</v>
      </c>
      <c r="K62" s="164">
        <f>IF(Questions!$H62=1,25,"")</f>
        <v>25</v>
      </c>
      <c r="L62" s="164">
        <f>IF(Questions!$H62=1,J62*K62,"")</f>
        <v>0</v>
      </c>
      <c r="M62" s="180" t="str">
        <f>VLOOKUP($B62,'Standards Crosswalk'!$A:$H,3,FALSE)</f>
        <v>CSC 6</v>
      </c>
      <c r="N62" s="180" t="str">
        <f>VLOOKUP($B62,'Standards Crosswalk'!$A:$H,4,FALSE)</f>
        <v/>
      </c>
      <c r="O62" s="180" t="str">
        <f>VLOOKUP($B62,'Standards Crosswalk'!$A:$H,5,FALSE)</f>
        <v>12.4</v>
      </c>
      <c r="P62" s="180" t="str">
        <f>VLOOKUP($B62,'Standards Crosswalk'!$A:$H,6,FALSE)</f>
        <v>PR.PT-1</v>
      </c>
      <c r="Q62" s="180" t="str">
        <f>VLOOKUP($B62,'Standards Crosswalk'!$A:$H,7,FALSE)</f>
        <v>3.1.7, 3.3.2, 3.3.3, 3.3.4, 3.3.5, 3.4.3, 3.7.1, 3.7.6, 3.10.4, 3.10.5</v>
      </c>
      <c r="R62" s="180" t="str">
        <f>VLOOKUP($B62,'Standards Crosswalk'!$A:$H,8,FALSE)</f>
        <v>AU-2(3), AU-6, AU-12, AC-6(9), CM-3, MA-2, MA-5, PE-3</v>
      </c>
      <c r="S62" s="180" t="str">
        <f>VLOOKUP($B62,'Standards Crosswalk'!$A:$I,9,FALSE)</f>
        <v>10.1, 10.2, 10.3, 10.5, 10.6, 10.7, 9.x</v>
      </c>
      <c r="T62" s="164"/>
      <c r="U62" s="164"/>
      <c r="V62" s="164"/>
      <c r="W62" s="164"/>
      <c r="X62" s="164"/>
      <c r="Y62" s="164"/>
      <c r="Z62" s="164"/>
    </row>
    <row r="63" ht="13.5" customHeight="1">
      <c r="A63" s="164">
        <f t="shared" si="3"/>
        <v>61</v>
      </c>
      <c r="B63" s="171" t="s">
        <v>372</v>
      </c>
      <c r="C63" s="164" t="str">
        <f>VLOOKUP(B63,HECVAT!A:E,2,FALSE)</f>
        <v>Describe or provide a reference to the retention period for those logs, how logs are protected, and whether they are accessible to the customer (and if so, how).</v>
      </c>
      <c r="D63" s="164" t="str">
        <f>VLOOKUP(B63,HECVAT!A:E,4,FALSE)</f>
        <v/>
      </c>
      <c r="E63" s="174" t="b">
        <f>IF(Questions!$K63&gt;20,TRUE,FALSE)</f>
        <v>0</v>
      </c>
      <c r="F63" s="174" t="s">
        <v>2736</v>
      </c>
      <c r="G63" s="171" t="s">
        <v>92</v>
      </c>
      <c r="H63" s="176">
        <v>1.0</v>
      </c>
      <c r="I63" s="164" t="str">
        <f>VLOOKUP(B63,HECVAT!A:E,3,FALSE)</f>
        <v>These logs will be kept for 3 years prior to the end of the contractual relationship. They can be destroyed on demand if requested by the school.</v>
      </c>
      <c r="J63" s="164">
        <f>IF(Questions!$G63=Questions!$I63,1,0)</f>
        <v>0</v>
      </c>
      <c r="K63" s="164">
        <f>IF(Questions!$H63=1,20,"")</f>
        <v>20</v>
      </c>
      <c r="L63" s="164">
        <f>IF(Questions!$H63=1,J63*K63,"")</f>
        <v>0</v>
      </c>
      <c r="M63" s="180" t="str">
        <f>VLOOKUP($B63,'Standards Crosswalk'!$A:$H,3,FALSE)</f>
        <v>CSC 6</v>
      </c>
      <c r="N63" s="180" t="str">
        <f>VLOOKUP($B63,'Standards Crosswalk'!$A:$H,4,FALSE)</f>
        <v/>
      </c>
      <c r="O63" s="180" t="str">
        <f>VLOOKUP($B63,'Standards Crosswalk'!$A:$H,5,FALSE)</f>
        <v>12.4</v>
      </c>
      <c r="P63" s="180" t="str">
        <f>VLOOKUP($B63,'Standards Crosswalk'!$A:$H,6,FALSE)</f>
        <v>PR.PT-1</v>
      </c>
      <c r="Q63" s="180" t="str">
        <f>VLOOKUP($B63,'Standards Crosswalk'!$A:$H,7,FALSE)</f>
        <v>3.3.8, 3.3.9</v>
      </c>
      <c r="R63" s="180" t="str">
        <f>VLOOKUP($B63,'Standards Crosswalk'!$A:$H,8,FALSE)</f>
        <v>AU-9</v>
      </c>
      <c r="S63" s="180">
        <f>VLOOKUP($B63,'Standards Crosswalk'!$A:$I,9,FALSE)</f>
        <v>10.7</v>
      </c>
      <c r="T63" s="164"/>
      <c r="U63" s="164"/>
      <c r="V63" s="164"/>
      <c r="W63" s="164"/>
      <c r="X63" s="164"/>
      <c r="Y63" s="164"/>
      <c r="Z63" s="164"/>
    </row>
    <row r="64" ht="13.5" customHeight="1">
      <c r="A64" s="164">
        <f t="shared" si="3"/>
        <v>62</v>
      </c>
      <c r="B64" s="171" t="s">
        <v>381</v>
      </c>
      <c r="C64" s="164" t="str">
        <f>VLOOKUP(B64,HECVAT!A:E,2,FALSE)</f>
        <v>Describe or provide a reference to your Business Continuity Plan (BCP).</v>
      </c>
      <c r="D64" s="164" t="str">
        <f>VLOOKUP(B64,HECVAT!A:E,4,FALSE)</f>
        <v/>
      </c>
      <c r="E64" s="174" t="b">
        <f>IF(Questions!$K64&gt;20,TRUE,FALSE)</f>
        <v>1</v>
      </c>
      <c r="F64" s="174" t="s">
        <v>2764</v>
      </c>
      <c r="G64" s="171" t="s">
        <v>92</v>
      </c>
      <c r="H64" s="176">
        <v>1.0</v>
      </c>
      <c r="I64" s="164" t="str">
        <f>VLOOKUP(B64,HECVAT!A:E,3,FALSE)</f>
        <v>Our BCP holds proprietary information which we can only provide under NDA.</v>
      </c>
      <c r="J64" s="164">
        <f>IF(VLOOKUP(Questions!$B64,'Analyst Report'!$A$38:$G$85,7,FALSE)="Yes",1,0)</f>
        <v>0</v>
      </c>
      <c r="K64" s="164">
        <f>IF(Questions!$H64=1,25,"")</f>
        <v>25</v>
      </c>
      <c r="L64" s="164">
        <f>IF(Questions!$H64=1,J64*K64,"")</f>
        <v>0</v>
      </c>
      <c r="M64" s="180" t="str">
        <f>VLOOKUP($B64,'Standards Crosswalk'!$A:$H,3,FALSE)</f>
        <v>CSC 10</v>
      </c>
      <c r="N64" s="180" t="str">
        <f>VLOOKUP($B64,'Standards Crosswalk'!$A:$H,4,FALSE)</f>
        <v/>
      </c>
      <c r="O64" s="180" t="str">
        <f>VLOOKUP($B64,'Standards Crosswalk'!$A:$H,5,FALSE)</f>
        <v>17.1.1</v>
      </c>
      <c r="P64" s="180" t="str">
        <f>VLOOKUP($B64,'Standards Crosswalk'!$A:$H,6,FALSE)</f>
        <v>PR.IP-9</v>
      </c>
      <c r="Q64" s="180" t="str">
        <f>VLOOKUP($B64,'Standards Crosswalk'!$A:$H,7,FALSE)</f>
        <v>3.12.2</v>
      </c>
      <c r="R64" s="180" t="str">
        <f>VLOOKUP($B64,'Standards Crosswalk'!$A:$H,8,FALSE)</f>
        <v>AU-7, AU-9, IR-4, AC-5, CP-4, CP-10; NIST SP 800-34</v>
      </c>
      <c r="S64" s="180" t="str">
        <f>VLOOKUP($B64,'Standards Crosswalk'!$A:$I,9,FALSE)</f>
        <v/>
      </c>
      <c r="T64" s="164"/>
      <c r="U64" s="164"/>
      <c r="V64" s="164"/>
      <c r="W64" s="164"/>
      <c r="X64" s="164"/>
      <c r="Y64" s="164"/>
      <c r="Z64" s="164"/>
    </row>
    <row r="65" ht="13.5" customHeight="1">
      <c r="A65" s="164">
        <f t="shared" si="3"/>
        <v>63</v>
      </c>
      <c r="B65" s="171" t="s">
        <v>386</v>
      </c>
      <c r="C65" s="164" t="str">
        <f>VLOOKUP(B65,HECVAT!A:E,2,FALSE)</f>
        <v>May the Institution review your BCP and supporting documentation?</v>
      </c>
      <c r="D65" s="212" t="str">
        <f>VLOOKUP(B65,HECVAT!A:E,4,FALSE)</f>
        <v>Only under NDA.</v>
      </c>
      <c r="E65" s="174" t="b">
        <f>IF(Questions!$K65&gt;20,TRUE,FALSE)</f>
        <v>0</v>
      </c>
      <c r="F65" s="174" t="s">
        <v>2764</v>
      </c>
      <c r="G65" s="171" t="s">
        <v>92</v>
      </c>
      <c r="H65" s="176">
        <v>1.0</v>
      </c>
      <c r="I65" s="164" t="str">
        <f>VLOOKUP(B65,HECVAT!A:E,3,FALSE)</f>
        <v>Yes</v>
      </c>
      <c r="J65" s="164">
        <f>IF(Questions!$G65=Questions!$I65,1,0)</f>
        <v>1</v>
      </c>
      <c r="K65" s="164">
        <f>IF(Questions!$H65=1,20,"")</f>
        <v>20</v>
      </c>
      <c r="L65" s="164">
        <f>IF(Questions!$H65=1,J65*K65,"")</f>
        <v>20</v>
      </c>
      <c r="M65" s="180" t="str">
        <f>VLOOKUP($B65,'Standards Crosswalk'!$A:$H,3,FALSE)</f>
        <v>CSC 10</v>
      </c>
      <c r="N65" s="180" t="str">
        <f>VLOOKUP($B65,'Standards Crosswalk'!$A:$H,4,FALSE)</f>
        <v/>
      </c>
      <c r="O65" s="180" t="str">
        <f>VLOOKUP($B65,'Standards Crosswalk'!$A:$H,5,FALSE)</f>
        <v/>
      </c>
      <c r="P65" s="180" t="str">
        <f>VLOOKUP($B65,'Standards Crosswalk'!$A:$H,6,FALSE)</f>
        <v>PR.IP-9</v>
      </c>
      <c r="Q65" s="180" t="str">
        <f>VLOOKUP($B65,'Standards Crosswalk'!$A:$H,7,FALSE)</f>
        <v>3.12.2</v>
      </c>
      <c r="R65" s="180" t="str">
        <f>VLOOKUP($B65,'Standards Crosswalk'!$A:$H,8,FALSE)</f>
        <v>AC-5, CP-4, CP-10; NIST SP 800-34</v>
      </c>
      <c r="S65" s="180" t="str">
        <f>VLOOKUP($B65,'Standards Crosswalk'!$A:$I,9,FALSE)</f>
        <v/>
      </c>
      <c r="T65" s="164"/>
      <c r="U65" s="164"/>
      <c r="V65" s="164"/>
      <c r="W65" s="164"/>
      <c r="X65" s="164"/>
      <c r="Y65" s="164"/>
      <c r="Z65" s="164"/>
    </row>
    <row r="66" ht="13.5" customHeight="1">
      <c r="A66" s="164">
        <f t="shared" si="3"/>
        <v>64</v>
      </c>
      <c r="B66" s="171" t="s">
        <v>389</v>
      </c>
      <c r="C66" s="164" t="str">
        <f>VLOOKUP(B66,HECVAT!A:E,2,FALSE)</f>
        <v>Is an owner assigned who is responsible for the maintenance and review of the Business Continuity Plan?</v>
      </c>
      <c r="D66" s="212" t="str">
        <f>VLOOKUP(B66,HECVAT!A:E,4,FALSE)</f>
        <v>CTO is responsible for the creation, review, and updation of the BCP</v>
      </c>
      <c r="E66" s="174" t="b">
        <f>IF(Questions!$K66&gt;20,TRUE,FALSE)</f>
        <v>0</v>
      </c>
      <c r="F66" s="174" t="s">
        <v>2764</v>
      </c>
      <c r="G66" s="171" t="s">
        <v>92</v>
      </c>
      <c r="H66" s="176">
        <v>1.0</v>
      </c>
      <c r="I66" s="164" t="str">
        <f>VLOOKUP(B66,HECVAT!A:E,3,FALSE)</f>
        <v>Yes</v>
      </c>
      <c r="J66" s="164">
        <f>IF(Questions!$G66=Questions!$I66,1,0)</f>
        <v>1</v>
      </c>
      <c r="K66" s="164">
        <f>IF(Questions!$H66=1,20,"")</f>
        <v>20</v>
      </c>
      <c r="L66" s="164">
        <f>IF(Questions!$H66=1,J66*K66,"")</f>
        <v>20</v>
      </c>
      <c r="M66" s="180" t="str">
        <f>VLOOKUP($B66,'Standards Crosswalk'!$A:$H,3,FALSE)</f>
        <v>CSC 10</v>
      </c>
      <c r="N66" s="180" t="str">
        <f>VLOOKUP($B66,'Standards Crosswalk'!$A:$H,4,FALSE)</f>
        <v/>
      </c>
      <c r="O66" s="180" t="str">
        <f>VLOOKUP($B66,'Standards Crosswalk'!$A:$H,5,FALSE)</f>
        <v>17.1.1</v>
      </c>
      <c r="P66" s="180" t="str">
        <f>VLOOKUP($B66,'Standards Crosswalk'!$A:$H,6,FALSE)</f>
        <v>PR.IP-9</v>
      </c>
      <c r="Q66" s="180" t="str">
        <f>VLOOKUP($B66,'Standards Crosswalk'!$A:$H,7,FALSE)</f>
        <v>3.12.2</v>
      </c>
      <c r="R66" s="180" t="str">
        <f>VLOOKUP($B66,'Standards Crosswalk'!$A:$H,8,FALSE)</f>
        <v>AU-7, AU-9, IR-4, AC-5, CP-4, CP-10; NIST SP 800-34</v>
      </c>
      <c r="S66" s="180" t="str">
        <f>VLOOKUP($B66,'Standards Crosswalk'!$A:$I,9,FALSE)</f>
        <v/>
      </c>
      <c r="T66" s="164"/>
      <c r="U66" s="164"/>
      <c r="V66" s="164"/>
      <c r="W66" s="164"/>
      <c r="X66" s="164"/>
      <c r="Y66" s="164"/>
      <c r="Z66" s="164"/>
    </row>
    <row r="67" ht="13.5" customHeight="1">
      <c r="A67" s="164">
        <f t="shared" si="3"/>
        <v>65</v>
      </c>
      <c r="B67" s="171" t="s">
        <v>392</v>
      </c>
      <c r="C67" s="164" t="str">
        <f>VLOOKUP(B67,HECVAT!A:E,2,FALSE)</f>
        <v>Is there a defined problem/issue escalation plan in your BCP for impacted clients?</v>
      </c>
      <c r="D67" s="212" t="str">
        <f>VLOOKUP(B67,HECVAT!A:E,4,FALSE)</f>
        <v/>
      </c>
      <c r="E67" s="174" t="b">
        <f>IF(Questions!$K67&gt;20,TRUE,FALSE)</f>
        <v>0</v>
      </c>
      <c r="F67" s="174" t="s">
        <v>2764</v>
      </c>
      <c r="G67" s="171" t="s">
        <v>92</v>
      </c>
      <c r="H67" s="176">
        <v>1.0</v>
      </c>
      <c r="I67" s="164" t="str">
        <f>VLOOKUP(B67,HECVAT!A:E,3,FALSE)</f>
        <v>No</v>
      </c>
      <c r="J67" s="164">
        <f>IF(Questions!$G67=Questions!$I67,1,0)</f>
        <v>0</v>
      </c>
      <c r="K67" s="164">
        <f>IF(Questions!$H67=1,20,"")</f>
        <v>20</v>
      </c>
      <c r="L67" s="164">
        <f>IF(Questions!$H67=1,J67*K67,"")</f>
        <v>0</v>
      </c>
      <c r="M67" s="180" t="str">
        <f>VLOOKUP($B67,'Standards Crosswalk'!$A:$H,3,FALSE)</f>
        <v>CSC 10</v>
      </c>
      <c r="N67" s="180" t="str">
        <f>VLOOKUP($B67,'Standards Crosswalk'!$A:$H,4,FALSE)</f>
        <v/>
      </c>
      <c r="O67" s="180" t="str">
        <f>VLOOKUP($B67,'Standards Crosswalk'!$A:$H,5,FALSE)</f>
        <v>17</v>
      </c>
      <c r="P67" s="180" t="str">
        <f>VLOOKUP($B67,'Standards Crosswalk'!$A:$H,6,FALSE)</f>
        <v>PR.IP-9</v>
      </c>
      <c r="Q67" s="180" t="str">
        <f>VLOOKUP($B67,'Standards Crosswalk'!$A:$H,7,FALSE)</f>
        <v>3.12.2</v>
      </c>
      <c r="R67" s="180" t="str">
        <f>VLOOKUP($B67,'Standards Crosswalk'!$A:$H,8,FALSE)</f>
        <v>AU-7, AU-9, IR-4, AC-5, CP-4, CP-10; NIST SP 800-34</v>
      </c>
      <c r="S67" s="180" t="str">
        <f>VLOOKUP($B67,'Standards Crosswalk'!$A:$I,9,FALSE)</f>
        <v/>
      </c>
      <c r="T67" s="164"/>
      <c r="U67" s="164"/>
      <c r="V67" s="164"/>
      <c r="W67" s="164"/>
      <c r="X67" s="164"/>
      <c r="Y67" s="164"/>
      <c r="Z67" s="164"/>
    </row>
    <row r="68" ht="13.5" customHeight="1">
      <c r="A68" s="164">
        <f t="shared" si="3"/>
        <v>66</v>
      </c>
      <c r="B68" s="171" t="s">
        <v>396</v>
      </c>
      <c r="C68" s="164" t="str">
        <f>VLOOKUP(B68,HECVAT!A:E,2,FALSE)</f>
        <v>Is there a documented communication plan in your BCP for impacted clients?</v>
      </c>
      <c r="D68" s="212" t="str">
        <f>VLOOKUP(B68,HECVAT!A:E,4,FALSE)</f>
        <v>Affected clients will be notified within 24 hours of interventions taken per BCP</v>
      </c>
      <c r="E68" s="174" t="b">
        <f>IF(Questions!$K68&gt;20,TRUE,FALSE)</f>
        <v>0</v>
      </c>
      <c r="F68" s="174" t="s">
        <v>2764</v>
      </c>
      <c r="G68" s="171" t="s">
        <v>92</v>
      </c>
      <c r="H68" s="176">
        <v>1.0</v>
      </c>
      <c r="I68" s="164" t="str">
        <f>VLOOKUP(B68,HECVAT!A:E,3,FALSE)</f>
        <v>Yes</v>
      </c>
      <c r="J68" s="164">
        <f>IF(Questions!$G68=Questions!$I68,1,0)</f>
        <v>1</v>
      </c>
      <c r="K68" s="164">
        <f>IF(Questions!$H68=1,20,"")</f>
        <v>20</v>
      </c>
      <c r="L68" s="164">
        <f>IF(Questions!$H68=1,J68*K68,"")</f>
        <v>20</v>
      </c>
      <c r="M68" s="180" t="str">
        <f>VLOOKUP($B68,'Standards Crosswalk'!$A:$H,3,FALSE)</f>
        <v>CSC 10</v>
      </c>
      <c r="N68" s="180" t="str">
        <f>VLOOKUP($B68,'Standards Crosswalk'!$A:$H,4,FALSE)</f>
        <v/>
      </c>
      <c r="O68" s="180" t="str">
        <f>VLOOKUP($B68,'Standards Crosswalk'!$A:$H,5,FALSE)</f>
        <v>17.1.2</v>
      </c>
      <c r="P68" s="180" t="str">
        <f>VLOOKUP($B68,'Standards Crosswalk'!$A:$H,6,FALSE)</f>
        <v>PR.IP-9</v>
      </c>
      <c r="Q68" s="180" t="str">
        <f>VLOOKUP($B68,'Standards Crosswalk'!$A:$H,7,FALSE)</f>
        <v>3.12.2</v>
      </c>
      <c r="R68" s="180" t="str">
        <f>VLOOKUP($B68,'Standards Crosswalk'!$A:$H,8,FALSE)</f>
        <v>AU-7, AU-9, IR-4, AC-5, CP-4, CP-10; NIST SP 800-34</v>
      </c>
      <c r="S68" s="180" t="str">
        <f>VLOOKUP($B68,'Standards Crosswalk'!$A:$I,9,FALSE)</f>
        <v/>
      </c>
      <c r="T68" s="164"/>
      <c r="U68" s="164"/>
      <c r="V68" s="164"/>
      <c r="W68" s="164"/>
      <c r="X68" s="164"/>
      <c r="Y68" s="164"/>
      <c r="Z68" s="164"/>
    </row>
    <row r="69" ht="13.5" customHeight="1">
      <c r="A69" s="164">
        <f t="shared" si="3"/>
        <v>67</v>
      </c>
      <c r="B69" s="171" t="s">
        <v>399</v>
      </c>
      <c r="C69" s="164" t="str">
        <f>VLOOKUP(B69,HECVAT!A:E,2,FALSE)</f>
        <v>Are all components of the BCP reviewed at least annually and updated as needed to reflect change? </v>
      </c>
      <c r="D69" s="212" t="str">
        <f>VLOOKUP(B69,HECVAT!A:E,4,FALSE)</f>
        <v>Quarterly and on demand as needed</v>
      </c>
      <c r="E69" s="174" t="b">
        <f>IF(Questions!$K69&gt;20,TRUE,FALSE)</f>
        <v>1</v>
      </c>
      <c r="F69" s="174" t="s">
        <v>2764</v>
      </c>
      <c r="G69" s="171" t="s">
        <v>92</v>
      </c>
      <c r="H69" s="176">
        <v>1.0</v>
      </c>
      <c r="I69" s="164" t="str">
        <f>VLOOKUP(B69,HECVAT!A:E,3,FALSE)</f>
        <v>Yes</v>
      </c>
      <c r="J69" s="164">
        <f>IF(Questions!$G69=Questions!$I69,1,0)</f>
        <v>1</v>
      </c>
      <c r="K69" s="164">
        <f>IF(Questions!$H69=1,25,"")</f>
        <v>25</v>
      </c>
      <c r="L69" s="164">
        <f>IF(Questions!$H69=1,J69*K69,"")</f>
        <v>25</v>
      </c>
      <c r="M69" s="180" t="str">
        <f>VLOOKUP($B69,'Standards Crosswalk'!$A:$H,3,FALSE)</f>
        <v>CSC 10</v>
      </c>
      <c r="N69" s="180" t="str">
        <f>VLOOKUP($B69,'Standards Crosswalk'!$A:$H,4,FALSE)</f>
        <v/>
      </c>
      <c r="O69" s="180" t="str">
        <f>VLOOKUP($B69,'Standards Crosswalk'!$A:$H,5,FALSE)</f>
        <v>17.1.2</v>
      </c>
      <c r="P69" s="180" t="str">
        <f>VLOOKUP($B69,'Standards Crosswalk'!$A:$H,6,FALSE)</f>
        <v>PR.IP-9</v>
      </c>
      <c r="Q69" s="180" t="str">
        <f>VLOOKUP($B69,'Standards Crosswalk'!$A:$H,7,FALSE)</f>
        <v>3.12.2</v>
      </c>
      <c r="R69" s="180" t="str">
        <f>VLOOKUP($B69,'Standards Crosswalk'!$A:$H,8,FALSE)</f>
        <v>AU-7, AU-9, IR-4, AC-5, CP-4, CP-10; NIST SP 800-34</v>
      </c>
      <c r="S69" s="180" t="str">
        <f>VLOOKUP($B69,'Standards Crosswalk'!$A:$I,9,FALSE)</f>
        <v/>
      </c>
      <c r="T69" s="164"/>
      <c r="U69" s="164"/>
      <c r="V69" s="164"/>
      <c r="W69" s="164"/>
      <c r="X69" s="164"/>
      <c r="Y69" s="164"/>
      <c r="Z69" s="164"/>
    </row>
    <row r="70" ht="13.5" customHeight="1">
      <c r="A70" s="164">
        <f t="shared" si="3"/>
        <v>68</v>
      </c>
      <c r="B70" s="171" t="s">
        <v>401</v>
      </c>
      <c r="C70" s="164" t="str">
        <f>VLOOKUP(B70,HECVAT!A:E,2,FALSE)</f>
        <v>Has your BCP been tested in the last year? </v>
      </c>
      <c r="D70" s="212" t="str">
        <f>VLOOKUP(B70,HECVAT!A:E,4,FALSE)</f>
        <v>March 2019. Successfully passed automatic failover to second Google Region. </v>
      </c>
      <c r="E70" s="174" t="b">
        <f>IF(Questions!$K70&gt;20,TRUE,FALSE)</f>
        <v>1</v>
      </c>
      <c r="F70" s="174" t="s">
        <v>2764</v>
      </c>
      <c r="G70" s="171" t="s">
        <v>92</v>
      </c>
      <c r="H70" s="176">
        <v>1.0</v>
      </c>
      <c r="I70" s="164" t="str">
        <f>VLOOKUP(B70,HECVAT!A:E,3,FALSE)</f>
        <v>Yes</v>
      </c>
      <c r="J70" s="164">
        <f>IF(Questions!$G70=Questions!$I70,1,0)</f>
        <v>1</v>
      </c>
      <c r="K70" s="164">
        <f>IF(Questions!$H70=1,25,"")</f>
        <v>25</v>
      </c>
      <c r="L70" s="164">
        <f>IF(Questions!$H70=1,J70*K70,"")</f>
        <v>25</v>
      </c>
      <c r="M70" s="180" t="str">
        <f>VLOOKUP($B70,'Standards Crosswalk'!$A:$H,3,FALSE)</f>
        <v>CSC 10</v>
      </c>
      <c r="N70" s="180" t="str">
        <f>VLOOKUP($B70,'Standards Crosswalk'!$A:$H,4,FALSE)</f>
        <v/>
      </c>
      <c r="O70" s="180" t="str">
        <f>VLOOKUP($B70,'Standards Crosswalk'!$A:$H,5,FALSE)</f>
        <v>17.1.3</v>
      </c>
      <c r="P70" s="180" t="str">
        <f>VLOOKUP($B70,'Standards Crosswalk'!$A:$H,6,FALSE)</f>
        <v>PR.IP-9</v>
      </c>
      <c r="Q70" s="180" t="str">
        <f>VLOOKUP($B70,'Standards Crosswalk'!$A:$H,7,FALSE)</f>
        <v>3.12.2</v>
      </c>
      <c r="R70" s="180" t="str">
        <f>VLOOKUP($B70,'Standards Crosswalk'!$A:$H,8,FALSE)</f>
        <v>AU-7, AU-9, IR-4, AC-5, CP-4, CP-10; NIST SP 800-34</v>
      </c>
      <c r="S70" s="180" t="str">
        <f>VLOOKUP($B70,'Standards Crosswalk'!$A:$I,9,FALSE)</f>
        <v/>
      </c>
      <c r="T70" s="164"/>
      <c r="U70" s="164"/>
      <c r="V70" s="164"/>
      <c r="W70" s="164"/>
      <c r="X70" s="164"/>
      <c r="Y70" s="164"/>
      <c r="Z70" s="164"/>
    </row>
    <row r="71" ht="13.5" customHeight="1">
      <c r="A71" s="164">
        <f t="shared" si="3"/>
        <v>69</v>
      </c>
      <c r="B71" s="171" t="s">
        <v>404</v>
      </c>
      <c r="C71" s="164" t="str">
        <f>VLOOKUP(B71,HECVAT!A:E,2,FALSE)</f>
        <v>Does your organization conduct training and awareness activities to validate its employees understanding of their roles and responsibilities during a crisis?</v>
      </c>
      <c r="D71" s="212" t="str">
        <f>VLOOKUP(B71,HECVAT!A:E,4,FALSE)</f>
        <v>Roles and responsibilities during crisis are defined</v>
      </c>
      <c r="E71" s="174" t="b">
        <f>IF(Questions!$K71&gt;20,TRUE,FALSE)</f>
        <v>0</v>
      </c>
      <c r="F71" s="174" t="s">
        <v>2764</v>
      </c>
      <c r="G71" s="171" t="s">
        <v>92</v>
      </c>
      <c r="H71" s="176">
        <v>1.0</v>
      </c>
      <c r="I71" s="164" t="str">
        <f>VLOOKUP(B71,HECVAT!A:E,3,FALSE)</f>
        <v>Yes</v>
      </c>
      <c r="J71" s="164">
        <f>IF(Questions!$G71=Questions!$I71,1,0)</f>
        <v>1</v>
      </c>
      <c r="K71" s="164">
        <f>IF(Questions!$H71=1,20,"")</f>
        <v>20</v>
      </c>
      <c r="L71" s="164">
        <f>IF(Questions!$H71=1,J71*K71,"")</f>
        <v>20</v>
      </c>
      <c r="M71" s="180" t="str">
        <f>VLOOKUP($B71,'Standards Crosswalk'!$A:$H,3,FALSE)</f>
        <v>CSC 10</v>
      </c>
      <c r="N71" s="180" t="str">
        <f>VLOOKUP($B71,'Standards Crosswalk'!$A:$H,4,FALSE)</f>
        <v/>
      </c>
      <c r="O71" s="180" t="str">
        <f>VLOOKUP($B71,'Standards Crosswalk'!$A:$H,5,FALSE)</f>
        <v>7.2.2, 17.1.3</v>
      </c>
      <c r="P71" s="180" t="str">
        <f>VLOOKUP($B71,'Standards Crosswalk'!$A:$H,6,FALSE)</f>
        <v>PR.IP-9</v>
      </c>
      <c r="Q71" s="180" t="str">
        <f>VLOOKUP($B71,'Standards Crosswalk'!$A:$H,7,FALSE)</f>
        <v>3.2.1, 3.2.2</v>
      </c>
      <c r="R71" s="180" t="str">
        <f>VLOOKUP($B71,'Standards Crosswalk'!$A:$H,8,FALSE)</f>
        <v>AT-3, AC-5, CP-4, CP-10; NIST SP 800-34</v>
      </c>
      <c r="S71" s="180" t="str">
        <f>VLOOKUP($B71,'Standards Crosswalk'!$A:$I,9,FALSE)</f>
        <v>12.x</v>
      </c>
      <c r="T71" s="164"/>
      <c r="U71" s="164"/>
      <c r="V71" s="164"/>
      <c r="W71" s="164"/>
      <c r="X71" s="164"/>
      <c r="Y71" s="164"/>
      <c r="Z71" s="164"/>
    </row>
    <row r="72" ht="13.5" customHeight="1">
      <c r="A72" s="164">
        <f t="shared" si="3"/>
        <v>70</v>
      </c>
      <c r="B72" s="171" t="s">
        <v>410</v>
      </c>
      <c r="C72" s="164" t="str">
        <f>VLOOKUP(B72,HECVAT!A:E,2,FALSE)</f>
        <v>Are specific crisis management roles and responsibilities defined and documented?</v>
      </c>
      <c r="D72" s="212" t="str">
        <f>VLOOKUP(B72,HECVAT!A:E,4,FALSE)</f>
        <v>Outlined in BCP</v>
      </c>
      <c r="E72" s="174" t="b">
        <f>IF(Questions!$K72&gt;20,TRUE,FALSE)</f>
        <v>0</v>
      </c>
      <c r="F72" s="174" t="s">
        <v>2764</v>
      </c>
      <c r="G72" s="171" t="s">
        <v>92</v>
      </c>
      <c r="H72" s="176">
        <v>1.0</v>
      </c>
      <c r="I72" s="164" t="str">
        <f>VLOOKUP(B72,HECVAT!A:E,3,FALSE)</f>
        <v>Yes</v>
      </c>
      <c r="J72" s="164">
        <f>IF(Questions!$G72=Questions!$I72,1,0)</f>
        <v>1</v>
      </c>
      <c r="K72" s="164">
        <f>IF(Questions!$H72=1,20,"")</f>
        <v>20</v>
      </c>
      <c r="L72" s="164">
        <f>IF(Questions!$H72=1,J72*K72,"")</f>
        <v>20</v>
      </c>
      <c r="M72" s="180" t="str">
        <f>VLOOKUP($B72,'Standards Crosswalk'!$A:$H,3,FALSE)</f>
        <v>CSC 10</v>
      </c>
      <c r="N72" s="180" t="str">
        <f>VLOOKUP($B72,'Standards Crosswalk'!$A:$H,4,FALSE)</f>
        <v/>
      </c>
      <c r="O72" s="180" t="str">
        <f>VLOOKUP($B72,'Standards Crosswalk'!$A:$H,5,FALSE)</f>
        <v>7.2.2, 16.1.1, 17.1.3</v>
      </c>
      <c r="P72" s="180" t="str">
        <f>VLOOKUP($B72,'Standards Crosswalk'!$A:$H,6,FALSE)</f>
        <v>PR.IP-9</v>
      </c>
      <c r="Q72" s="180" t="str">
        <f>VLOOKUP($B72,'Standards Crosswalk'!$A:$H,7,FALSE)</f>
        <v/>
      </c>
      <c r="R72" s="180" t="str">
        <f>VLOOKUP($B72,'Standards Crosswalk'!$A:$H,8,FALSE)</f>
        <v>AC-5, CP-4, CP-10; NIST SP 800-34</v>
      </c>
      <c r="S72" s="180" t="str">
        <f>VLOOKUP($B72,'Standards Crosswalk'!$A:$I,9,FALSE)</f>
        <v>12.x</v>
      </c>
      <c r="T72" s="164"/>
      <c r="U72" s="164"/>
      <c r="V72" s="164"/>
      <c r="W72" s="164"/>
      <c r="X72" s="164"/>
      <c r="Y72" s="164"/>
      <c r="Z72" s="164"/>
    </row>
    <row r="73" ht="13.5" customHeight="1">
      <c r="A73" s="164">
        <f t="shared" si="3"/>
        <v>71</v>
      </c>
      <c r="B73" s="171" t="s">
        <v>413</v>
      </c>
      <c r="C73" s="164" t="str">
        <f>VLOOKUP(B73,HECVAT!A:E,2,FALSE)</f>
        <v>Does your organization have an alternative business site or a contracted Business Recovery provider?</v>
      </c>
      <c r="D73" s="212" t="str">
        <f>VLOOKUP(B73,HECVAT!A:E,4,FALSE)</f>
        <v/>
      </c>
      <c r="E73" s="174" t="b">
        <f>IF(Questions!$K73&gt;20,TRUE,FALSE)</f>
        <v>0</v>
      </c>
      <c r="F73" s="174" t="s">
        <v>2764</v>
      </c>
      <c r="G73" s="171" t="s">
        <v>92</v>
      </c>
      <c r="H73" s="176">
        <v>1.0</v>
      </c>
      <c r="I73" s="164" t="str">
        <f>VLOOKUP(B73,HECVAT!A:E,3,FALSE)</f>
        <v>No</v>
      </c>
      <c r="J73" s="164">
        <f>IF(Questions!$G73=Questions!$I73,1,0)</f>
        <v>0</v>
      </c>
      <c r="K73" s="164">
        <f>IF(Questions!$H73=1,20,"")</f>
        <v>20</v>
      </c>
      <c r="L73" s="164">
        <f>IF(Questions!$H73=1,J73*K73,"")</f>
        <v>0</v>
      </c>
      <c r="M73" s="180" t="str">
        <f>VLOOKUP($B73,'Standards Crosswalk'!$A:$H,3,FALSE)</f>
        <v>CSC 10</v>
      </c>
      <c r="N73" s="180" t="str">
        <f>VLOOKUP($B73,'Standards Crosswalk'!$A:$H,4,FALSE)</f>
        <v/>
      </c>
      <c r="O73" s="180" t="str">
        <f>VLOOKUP($B73,'Standards Crosswalk'!$A:$H,5,FALSE)</f>
        <v>17.2.1</v>
      </c>
      <c r="P73" s="180" t="str">
        <f>VLOOKUP($B73,'Standards Crosswalk'!$A:$H,6,FALSE)</f>
        <v>PR.IP-9</v>
      </c>
      <c r="Q73" s="180" t="str">
        <f>VLOOKUP($B73,'Standards Crosswalk'!$A:$H,7,FALSE)</f>
        <v/>
      </c>
      <c r="R73" s="180" t="str">
        <f>VLOOKUP($B73,'Standards Crosswalk'!$A:$H,8,FALSE)</f>
        <v>AC-5, CP-4, CP-10; NIST SP 800-34</v>
      </c>
      <c r="S73" s="180">
        <f>VLOOKUP($B73,'Standards Crosswalk'!$A:$I,9,FALSE)</f>
        <v>12.1</v>
      </c>
      <c r="T73" s="164"/>
      <c r="U73" s="164"/>
      <c r="V73" s="164"/>
      <c r="W73" s="164"/>
      <c r="X73" s="164"/>
      <c r="Y73" s="164"/>
      <c r="Z73" s="164"/>
    </row>
    <row r="74" ht="13.5" customHeight="1">
      <c r="A74" s="164">
        <f t="shared" si="3"/>
        <v>72</v>
      </c>
      <c r="B74" s="171" t="s">
        <v>416</v>
      </c>
      <c r="C74" s="164" t="str">
        <f>VLOOKUP(B74,HECVAT!A:E,2,FALSE)</f>
        <v>Does your organization conduct an annual test of relocating to an alternate site for business recovery purposes?</v>
      </c>
      <c r="D74" s="212" t="str">
        <f>VLOOKUP(B74,HECVAT!A:E,4,FALSE)</f>
        <v>Once a year during Q1</v>
      </c>
      <c r="E74" s="174" t="b">
        <f>IF(Questions!$K74&gt;20,TRUE,FALSE)</f>
        <v>0</v>
      </c>
      <c r="F74" s="174" t="s">
        <v>2764</v>
      </c>
      <c r="G74" s="171" t="s">
        <v>92</v>
      </c>
      <c r="H74" s="176">
        <f>IF(I73="Yes",1,0)</f>
        <v>0</v>
      </c>
      <c r="I74" s="164" t="str">
        <f>VLOOKUP(B74,HECVAT!A:E,3,FALSE)</f>
        <v>Yes</v>
      </c>
      <c r="J74" s="164">
        <f>IF(Questions!$G74=Questions!$I74,1,0)</f>
        <v>1</v>
      </c>
      <c r="K74" s="164">
        <v>20.0</v>
      </c>
      <c r="L74" s="164" t="str">
        <f>IF(Questions!$H74=1,J74*K74,"")</f>
        <v/>
      </c>
      <c r="M74" s="180" t="str">
        <f>VLOOKUP($B74,'Standards Crosswalk'!$A:$H,3,FALSE)</f>
        <v>CSC 10</v>
      </c>
      <c r="N74" s="180" t="str">
        <f>VLOOKUP($B74,'Standards Crosswalk'!$A:$H,4,FALSE)</f>
        <v/>
      </c>
      <c r="O74" s="180" t="str">
        <f>VLOOKUP($B74,'Standards Crosswalk'!$A:$H,5,FALSE)</f>
        <v>17.1.3</v>
      </c>
      <c r="P74" s="180" t="str">
        <f>VLOOKUP($B74,'Standards Crosswalk'!$A:$H,6,FALSE)</f>
        <v>PR.IP-9</v>
      </c>
      <c r="Q74" s="180" t="str">
        <f>VLOOKUP($B74,'Standards Crosswalk'!$A:$H,7,FALSE)</f>
        <v/>
      </c>
      <c r="R74" s="180" t="str">
        <f>VLOOKUP($B74,'Standards Crosswalk'!$A:$H,8,FALSE)</f>
        <v>AC-5, CP-4, CP-10; NIST SP 800-34</v>
      </c>
      <c r="S74" s="180">
        <f>VLOOKUP($B74,'Standards Crosswalk'!$A:$I,9,FALSE)</f>
        <v>12.1</v>
      </c>
      <c r="T74" s="164"/>
      <c r="U74" s="164"/>
      <c r="V74" s="164"/>
      <c r="W74" s="164"/>
      <c r="X74" s="164"/>
      <c r="Y74" s="164"/>
      <c r="Z74" s="164"/>
    </row>
    <row r="75" ht="13.5" customHeight="1">
      <c r="A75" s="164">
        <f t="shared" si="3"/>
        <v>73</v>
      </c>
      <c r="B75" s="171" t="s">
        <v>418</v>
      </c>
      <c r="C75" s="164" t="str">
        <f>VLOOKUP(B75,HECVAT!A:E,2,FALSE)</f>
        <v>Is this product a core service of your organization, and as such, the top priority during business continuity planning?</v>
      </c>
      <c r="D75" s="212" t="str">
        <f>VLOOKUP(B75,HECVAT!A:E,4,FALSE)</f>
        <v/>
      </c>
      <c r="E75" s="174" t="b">
        <f>IF(Questions!$K75&gt;20,TRUE,FALSE)</f>
        <v>0</v>
      </c>
      <c r="F75" s="174" t="s">
        <v>2764</v>
      </c>
      <c r="G75" s="171" t="s">
        <v>92</v>
      </c>
      <c r="H75" s="176">
        <v>1.0</v>
      </c>
      <c r="I75" s="164" t="str">
        <f>VLOOKUP(B75,HECVAT!A:E,3,FALSE)</f>
        <v>Yes</v>
      </c>
      <c r="J75" s="164">
        <f>IF(Questions!$G75=Questions!$I75,1,0)</f>
        <v>1</v>
      </c>
      <c r="K75" s="164">
        <f>IF(Questions!$H75=1,15,"")</f>
        <v>15</v>
      </c>
      <c r="L75" s="164">
        <f>IF(Questions!$H75=1,J75*K75,"")</f>
        <v>15</v>
      </c>
      <c r="M75" s="180" t="str">
        <f>VLOOKUP($B75,'Standards Crosswalk'!$A:$H,3,FALSE)</f>
        <v>CSC 10</v>
      </c>
      <c r="N75" s="180" t="str">
        <f>VLOOKUP($B75,'Standards Crosswalk'!$A:$H,4,FALSE)</f>
        <v/>
      </c>
      <c r="O75" s="180" t="str">
        <f>VLOOKUP($B75,'Standards Crosswalk'!$A:$H,5,FALSE)</f>
        <v/>
      </c>
      <c r="P75" s="180" t="str">
        <f>VLOOKUP($B75,'Standards Crosswalk'!$A:$H,6,FALSE)</f>
        <v>PR.IP-9</v>
      </c>
      <c r="Q75" s="180" t="str">
        <f>VLOOKUP($B75,'Standards Crosswalk'!$A:$H,7,FALSE)</f>
        <v/>
      </c>
      <c r="R75" s="180" t="str">
        <f>VLOOKUP($B75,'Standards Crosswalk'!$A:$H,8,FALSE)</f>
        <v>AC-5, CP-4, CP-10; NIST SP 800-34</v>
      </c>
      <c r="S75" s="180">
        <f>VLOOKUP($B75,'Standards Crosswalk'!$A:$I,9,FALSE)</f>
        <v>12.1</v>
      </c>
      <c r="T75" s="164"/>
      <c r="U75" s="164"/>
      <c r="V75" s="164"/>
      <c r="W75" s="164"/>
      <c r="X75" s="164"/>
      <c r="Y75" s="164"/>
      <c r="Z75" s="164"/>
    </row>
    <row r="76" ht="13.5" customHeight="1">
      <c r="A76" s="164">
        <f t="shared" si="3"/>
        <v>74</v>
      </c>
      <c r="B76" s="171" t="s">
        <v>422</v>
      </c>
      <c r="C76" s="164" t="str">
        <f>VLOOKUP(B76,HECVAT!A:E,2,FALSE)</f>
        <v>Do you have a documented and currently followed change management process (CMP)? </v>
      </c>
      <c r="D76" s="212" t="str">
        <f>VLOOKUP(B76,HECVAT!A:E,4,FALSE)</f>
        <v>(1) determine release objectives 
(2) approve release objectives 
(3) develop software and obtain approval on objectives 
(4) develop release schedule 
(5) obtain approval on release schedule 
(6) build, test, configure 
(7) approve release 
(8) develop communications for customers 
(9) release</v>
      </c>
      <c r="E76" s="174" t="b">
        <f>IF(Questions!$K76&gt;20,TRUE,FALSE)</f>
        <v>1</v>
      </c>
      <c r="F76" s="174" t="s">
        <v>2739</v>
      </c>
      <c r="G76" s="171" t="s">
        <v>92</v>
      </c>
      <c r="H76" s="176">
        <v>1.0</v>
      </c>
      <c r="I76" s="164" t="str">
        <f>VLOOKUP(B76,HECVAT!A:E,3,FALSE)</f>
        <v>Yes</v>
      </c>
      <c r="J76" s="164">
        <f>IF(Questions!$G76=Questions!$I76,1,0)</f>
        <v>1</v>
      </c>
      <c r="K76" s="164">
        <f>IF(Questions!$H76=1,25,"")</f>
        <v>25</v>
      </c>
      <c r="L76" s="164">
        <f>IF(Questions!$H76=1,J76*K76,"")</f>
        <v>25</v>
      </c>
      <c r="M76" s="180" t="str">
        <f>VLOOKUP($B76,'Standards Crosswalk'!$A:$H,3,FALSE)</f>
        <v>CSC 10</v>
      </c>
      <c r="N76" s="180" t="str">
        <f>VLOOKUP($B76,'Standards Crosswalk'!$A:$H,4,FALSE)</f>
        <v/>
      </c>
      <c r="O76" s="180" t="str">
        <f>VLOOKUP($B76,'Standards Crosswalk'!$A:$H,5,FALSE)</f>
        <v>12.1.2</v>
      </c>
      <c r="P76" s="180" t="str">
        <f>VLOOKUP($B76,'Standards Crosswalk'!$A:$H,6,FALSE)</f>
        <v>PR.IP-3</v>
      </c>
      <c r="Q76" s="180" t="str">
        <f>VLOOKUP($B76,'Standards Crosswalk'!$A:$H,7,FALSE)</f>
        <v>3.4.3, 3.4.4</v>
      </c>
      <c r="R76" s="180" t="str">
        <f>VLOOKUP($B76,'Standards Crosswalk'!$A:$H,8,FALSE)</f>
        <v>CM-3, CM-4, CM-5</v>
      </c>
      <c r="S76" s="180" t="str">
        <f>VLOOKUP($B76,'Standards Crosswalk'!$A:$I,9,FALSE)</f>
        <v>6.4, 6.4.5, 6.4.5.1, 6.4.5.2</v>
      </c>
      <c r="T76" s="164"/>
      <c r="U76" s="164"/>
      <c r="V76" s="164"/>
      <c r="W76" s="164"/>
      <c r="X76" s="164"/>
      <c r="Y76" s="164"/>
      <c r="Z76" s="164"/>
    </row>
    <row r="77" ht="13.5" customHeight="1">
      <c r="A77" s="164">
        <f t="shared" si="3"/>
        <v>75</v>
      </c>
      <c r="B77" s="171" t="s">
        <v>430</v>
      </c>
      <c r="C77" s="164" t="str">
        <f>VLOOKUP(B77,HECVAT!A:E,2,FALSE)</f>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v>
      </c>
      <c r="D77" s="164" t="str">
        <f>VLOOKUP(B77,HECVAT!A:E,4,FALSE)</f>
        <v/>
      </c>
      <c r="E77" s="174" t="b">
        <f>IF(Questions!$K77&gt;20,TRUE,FALSE)</f>
        <v>0</v>
      </c>
      <c r="F77" s="174" t="s">
        <v>2739</v>
      </c>
      <c r="G77" s="171" t="s">
        <v>92</v>
      </c>
      <c r="H77" s="176">
        <v>1.0</v>
      </c>
      <c r="I77" s="164" t="str">
        <f>VLOOKUP(B77,HECVAT!A:E,3,FALSE)</f>
        <v>B and C</v>
      </c>
      <c r="J77" s="164">
        <f>IF(VLOOKUP(Questions!$B77,'Analyst Report'!$A$38:$G$85,7,FALSE)="Yes",1,0)</f>
        <v>0</v>
      </c>
      <c r="K77" s="164">
        <f>IF(Questions!$H77=1,20,"")</f>
        <v>20</v>
      </c>
      <c r="L77" s="164">
        <f>IF(Questions!$H77=1,J77*K77,"")</f>
        <v>0</v>
      </c>
      <c r="M77" s="180" t="str">
        <f>VLOOKUP($B77,'Standards Crosswalk'!$A:$H,3,FALSE)</f>
        <v>CSC 10</v>
      </c>
      <c r="N77" s="180" t="str">
        <f>VLOOKUP($B77,'Standards Crosswalk'!$A:$H,4,FALSE)</f>
        <v/>
      </c>
      <c r="O77" s="180" t="str">
        <f>VLOOKUP($B77,'Standards Crosswalk'!$A:$H,5,FALSE)</f>
        <v>12.1.2</v>
      </c>
      <c r="P77" s="180" t="str">
        <f>VLOOKUP($B77,'Standards Crosswalk'!$A:$H,6,FALSE)</f>
        <v>PR.IP-3, PR.DS-7</v>
      </c>
      <c r="Q77" s="180" t="str">
        <f>VLOOKUP($B77,'Standards Crosswalk'!$A:$H,7,FALSE)</f>
        <v>3.4.3, 3.4.4, 3.4.5</v>
      </c>
      <c r="R77" s="180" t="str">
        <f>VLOOKUP($B77,'Standards Crosswalk'!$A:$H,8,FALSE)</f>
        <v>CM-3, CM-4, CM-5</v>
      </c>
      <c r="S77" s="180" t="str">
        <f>VLOOKUP($B77,'Standards Crosswalk'!$A:$I,9,FALSE)</f>
        <v>6.4, 6.4.5, 6.4.5.1, 6.4.5.2</v>
      </c>
      <c r="T77" s="164"/>
      <c r="U77" s="164"/>
      <c r="V77" s="164"/>
      <c r="W77" s="164"/>
      <c r="X77" s="164"/>
      <c r="Y77" s="164"/>
      <c r="Z77" s="164"/>
    </row>
    <row r="78" ht="13.5" customHeight="1">
      <c r="A78" s="164">
        <f t="shared" si="3"/>
        <v>76</v>
      </c>
      <c r="B78" s="171" t="s">
        <v>434</v>
      </c>
      <c r="C78" s="164" t="str">
        <f>VLOOKUP(B78,HECVAT!A:E,2,FALSE)</f>
        <v>Will the Institution be notified of major changes to your environment that could impact the Institution's security posture?</v>
      </c>
      <c r="D78" s="164" t="str">
        <f>VLOOKUP(B78,HECVAT!A:E,4,FALSE)</f>
        <v>Institutions will be notified 60 days prior to the environmental change</v>
      </c>
      <c r="E78" s="174" t="b">
        <f>IF(Questions!$K78&gt;20,TRUE,FALSE)</f>
        <v>0</v>
      </c>
      <c r="F78" s="174" t="s">
        <v>2739</v>
      </c>
      <c r="G78" s="171" t="s">
        <v>92</v>
      </c>
      <c r="H78" s="176">
        <v>1.0</v>
      </c>
      <c r="I78" s="164" t="str">
        <f>VLOOKUP(B78,HECVAT!A:E,3,FALSE)</f>
        <v>Yes</v>
      </c>
      <c r="J78" s="164">
        <f>IF(Questions!$G78=Questions!$I78,1,0)</f>
        <v>1</v>
      </c>
      <c r="K78" s="164">
        <f>IF(Questions!$H78=1,20,"")</f>
        <v>20</v>
      </c>
      <c r="L78" s="164">
        <f>IF(Questions!$H78=1,J78*K78,"")</f>
        <v>20</v>
      </c>
      <c r="M78" s="180" t="str">
        <f>VLOOKUP($B78,'Standards Crosswalk'!$A:$H,3,FALSE)</f>
        <v>CSC 10</v>
      </c>
      <c r="N78" s="180" t="str">
        <f>VLOOKUP($B78,'Standards Crosswalk'!$A:$H,4,FALSE)</f>
        <v/>
      </c>
      <c r="O78" s="180" t="str">
        <f>VLOOKUP($B78,'Standards Crosswalk'!$A:$H,5,FALSE)</f>
        <v>12.1.2</v>
      </c>
      <c r="P78" s="180" t="str">
        <f>VLOOKUP($B78,'Standards Crosswalk'!$A:$H,6,FALSE)</f>
        <v/>
      </c>
      <c r="Q78" s="180" t="str">
        <f>VLOOKUP($B78,'Standards Crosswalk'!$A:$H,7,FALSE)</f>
        <v/>
      </c>
      <c r="R78" s="180" t="str">
        <f>VLOOKUP($B78,'Standards Crosswalk'!$A:$H,8,FALSE)</f>
        <v>CM-3, CM-4, CM-5</v>
      </c>
      <c r="S78" s="180" t="str">
        <f>VLOOKUP($B78,'Standards Crosswalk'!$A:$I,9,FALSE)</f>
        <v>6.4, 12.8, 12.9</v>
      </c>
      <c r="T78" s="164"/>
      <c r="U78" s="164"/>
      <c r="V78" s="164"/>
      <c r="W78" s="164"/>
      <c r="X78" s="164"/>
      <c r="Y78" s="164"/>
      <c r="Z78" s="164"/>
    </row>
    <row r="79" ht="13.5" customHeight="1">
      <c r="A79" s="164">
        <f t="shared" si="3"/>
        <v>77</v>
      </c>
      <c r="B79" s="171" t="s">
        <v>437</v>
      </c>
      <c r="C79" s="164" t="str">
        <f>VLOOKUP(B79,HECVAT!A:E,2,FALSE)</f>
        <v>Do clients have the option to not participate in or postpone an upgrade to a new release?</v>
      </c>
      <c r="D79" s="164" t="str">
        <f>VLOOKUP(B79,HECVAT!A:E,4,FALSE)</f>
        <v>All features of the chat bot are universally available to all schools</v>
      </c>
      <c r="E79" s="174" t="b">
        <f>IF(Questions!$K79&gt;20,TRUE,FALSE)</f>
        <v>0</v>
      </c>
      <c r="F79" s="174" t="s">
        <v>2739</v>
      </c>
      <c r="G79" s="171" t="s">
        <v>92</v>
      </c>
      <c r="H79" s="176">
        <v>1.0</v>
      </c>
      <c r="I79" s="164" t="str">
        <f>VLOOKUP(B79,HECVAT!A:E,3,FALSE)</f>
        <v>No</v>
      </c>
      <c r="J79" s="164">
        <f>IF(Questions!$G79=Questions!$I79,1,0)</f>
        <v>0</v>
      </c>
      <c r="K79" s="164">
        <f>IF(Questions!$H79=1,20,"")</f>
        <v>20</v>
      </c>
      <c r="L79" s="164">
        <f>IF(Questions!$H79=1,J79*K79,"")</f>
        <v>0</v>
      </c>
      <c r="M79" s="180" t="str">
        <f>VLOOKUP($B79,'Standards Crosswalk'!$A:$H,3,FALSE)</f>
        <v>CSC 10</v>
      </c>
      <c r="N79" s="180" t="str">
        <f>VLOOKUP($B79,'Standards Crosswalk'!$A:$H,4,FALSE)</f>
        <v/>
      </c>
      <c r="O79" s="180" t="str">
        <f>VLOOKUP($B79,'Standards Crosswalk'!$A:$H,5,FALSE)</f>
        <v/>
      </c>
      <c r="P79" s="180" t="str">
        <f>VLOOKUP($B79,'Standards Crosswalk'!$A:$H,6,FALSE)</f>
        <v/>
      </c>
      <c r="Q79" s="180" t="str">
        <f>VLOOKUP($B79,'Standards Crosswalk'!$A:$H,7,FALSE)</f>
        <v/>
      </c>
      <c r="R79" s="180" t="str">
        <f>VLOOKUP($B79,'Standards Crosswalk'!$A:$H,8,FALSE)</f>
        <v>CM-3, CM-4, CM-5</v>
      </c>
      <c r="S79" s="180">
        <f>VLOOKUP($B79,'Standards Crosswalk'!$A:$I,9,FALSE)</f>
        <v>12.1</v>
      </c>
      <c r="T79" s="164"/>
      <c r="U79" s="164"/>
      <c r="V79" s="164"/>
      <c r="W79" s="164"/>
      <c r="X79" s="164"/>
      <c r="Y79" s="164"/>
      <c r="Z79" s="164"/>
    </row>
    <row r="80" ht="13.5" customHeight="1">
      <c r="A80" s="164">
        <f t="shared" si="3"/>
        <v>78</v>
      </c>
      <c r="B80" s="171" t="s">
        <v>440</v>
      </c>
      <c r="C80" s="164" t="str">
        <f>VLOOKUP(B80,HECVAT!A:E,2,FALSE)</f>
        <v>Describe or provide a reference to your solution support strategy in relation to maintaining software currency. (i.e. how many concurrent versions are you willing to run and support?)</v>
      </c>
      <c r="D80" s="164" t="str">
        <f>VLOOKUP(B80,HECVAT!A:E,4,FALSE)</f>
        <v/>
      </c>
      <c r="E80" s="174" t="b">
        <f>IF(Questions!$K80&gt;20,TRUE,FALSE)</f>
        <v>1</v>
      </c>
      <c r="F80" s="174" t="s">
        <v>2739</v>
      </c>
      <c r="G80" s="171" t="s">
        <v>92</v>
      </c>
      <c r="H80" s="176">
        <v>1.0</v>
      </c>
      <c r="I80" s="164" t="str">
        <f>VLOOKUP(B80,HECVAT!A:E,3,FALSE)</f>
        <v>We run three concurrent versions</v>
      </c>
      <c r="J80" s="164">
        <f>IF(VLOOKUP(Questions!$B80,'Analyst Report'!$A$38:$G$85,7,FALSE)="Yes",1,0)</f>
        <v>0</v>
      </c>
      <c r="K80" s="164">
        <f>IF(Questions!$H80=1,25,"")</f>
        <v>25</v>
      </c>
      <c r="L80" s="164">
        <f>IF(Questions!$H80=1,J80*K80,"")</f>
        <v>0</v>
      </c>
      <c r="M80" s="180" t="str">
        <f>VLOOKUP($B80,'Standards Crosswalk'!$A:$H,3,FALSE)</f>
        <v>CSC 2</v>
      </c>
      <c r="N80" s="180" t="str">
        <f>VLOOKUP($B80,'Standards Crosswalk'!$A:$H,4,FALSE)</f>
        <v/>
      </c>
      <c r="O80" s="180" t="str">
        <f>VLOOKUP($B80,'Standards Crosswalk'!$A:$H,5,FALSE)</f>
        <v/>
      </c>
      <c r="P80" s="180" t="str">
        <f>VLOOKUP($B80,'Standards Crosswalk'!$A:$H,6,FALSE)</f>
        <v/>
      </c>
      <c r="Q80" s="180" t="str">
        <f>VLOOKUP($B80,'Standards Crosswalk'!$A:$H,7,FALSE)</f>
        <v/>
      </c>
      <c r="R80" s="180" t="str">
        <f>VLOOKUP($B80,'Standards Crosswalk'!$A:$H,8,FALSE)</f>
        <v>CM-3, CM-4, CM-5</v>
      </c>
      <c r="S80" s="180" t="str">
        <f>VLOOKUP($B80,'Standards Crosswalk'!$A:$I,9,FALSE)</f>
        <v>12.1, 12.8</v>
      </c>
      <c r="T80" s="164"/>
      <c r="U80" s="164"/>
      <c r="V80" s="164"/>
      <c r="W80" s="164"/>
      <c r="X80" s="164"/>
      <c r="Y80" s="164"/>
      <c r="Z80" s="164"/>
    </row>
    <row r="81" ht="13.5" customHeight="1">
      <c r="A81" s="164">
        <f t="shared" si="3"/>
        <v>79</v>
      </c>
      <c r="B81" s="171" t="s">
        <v>443</v>
      </c>
      <c r="C81" s="164" t="str">
        <f>VLOOKUP(B81,HECVAT!A:E,2,FALSE)</f>
        <v>Identify the most current version of the software. Detail the percentage of live customers that are utilizing the proposed version of the software as well as each version of the software currently in use.</v>
      </c>
      <c r="D81" s="164" t="str">
        <f>VLOOKUP(B81,HECVAT!A:E,4,FALSE)</f>
        <v/>
      </c>
      <c r="E81" s="174" t="b">
        <f>IF(Questions!$K81&gt;20,TRUE,FALSE)</f>
        <v>0</v>
      </c>
      <c r="F81" s="174" t="s">
        <v>2739</v>
      </c>
      <c r="G81" s="171" t="s">
        <v>92</v>
      </c>
      <c r="H81" s="176">
        <v>1.0</v>
      </c>
      <c r="I81" s="164" t="str">
        <f>VLOOKUP(B81,HECVAT!A:E,3,FALSE)</f>
        <v>All schools are using bot brian 1.3.1.5.8</v>
      </c>
      <c r="J81" s="164">
        <f>IF(VLOOKUP(Questions!$B81,'Analyst Report'!$A$38:$G$85,7,FALSE)="Yes",1,0)</f>
        <v>0</v>
      </c>
      <c r="K81" s="164">
        <f>IF(Questions!$H81=1,10,"")</f>
        <v>10</v>
      </c>
      <c r="L81" s="164">
        <f>IF(Questions!$H81=1,J81*K81,"")</f>
        <v>0</v>
      </c>
      <c r="M81" s="180" t="str">
        <f>VLOOKUP($B81,'Standards Crosswalk'!$A:$H,3,FALSE)</f>
        <v>CSC 2</v>
      </c>
      <c r="N81" s="180" t="str">
        <f>VLOOKUP($B81,'Standards Crosswalk'!$A:$H,4,FALSE)</f>
        <v/>
      </c>
      <c r="O81" s="180" t="str">
        <f>VLOOKUP($B81,'Standards Crosswalk'!$A:$H,5,FALSE)</f>
        <v/>
      </c>
      <c r="P81" s="180" t="str">
        <f>VLOOKUP($B81,'Standards Crosswalk'!$A:$H,6,FALSE)</f>
        <v/>
      </c>
      <c r="Q81" s="180" t="str">
        <f>VLOOKUP($B81,'Standards Crosswalk'!$A:$H,7,FALSE)</f>
        <v/>
      </c>
      <c r="R81" s="180" t="str">
        <f>VLOOKUP($B81,'Standards Crosswalk'!$A:$H,8,FALSE)</f>
        <v>CM-3, CM-4, CM-5</v>
      </c>
      <c r="S81" s="180" t="str">
        <f>VLOOKUP($B81,'Standards Crosswalk'!$A:$I,9,FALSE)</f>
        <v/>
      </c>
      <c r="T81" s="164"/>
      <c r="U81" s="164"/>
      <c r="V81" s="164"/>
      <c r="W81" s="164"/>
      <c r="X81" s="164"/>
      <c r="Y81" s="164"/>
      <c r="Z81" s="164"/>
    </row>
    <row r="82" ht="13.5" customHeight="1">
      <c r="A82" s="164">
        <f t="shared" si="3"/>
        <v>80</v>
      </c>
      <c r="B82" s="171" t="s">
        <v>445</v>
      </c>
      <c r="C82" s="164" t="str">
        <f>VLOOKUP(B82,HECVAT!A:E,2,FALSE)</f>
        <v>Does the system support client customizations from one release to another?</v>
      </c>
      <c r="D82" s="164" t="str">
        <f>VLOOKUP(B82,HECVAT!A:E,4,FALSE)</f>
        <v/>
      </c>
      <c r="E82" s="174" t="b">
        <f>IF(Questions!$K82&gt;20,TRUE,FALSE)</f>
        <v>0</v>
      </c>
      <c r="F82" s="174" t="s">
        <v>2739</v>
      </c>
      <c r="G82" s="171" t="s">
        <v>92</v>
      </c>
      <c r="H82" s="176">
        <v>1.0</v>
      </c>
      <c r="I82" s="164" t="str">
        <f>VLOOKUP(B82,HECVAT!A:E,3,FALSE)</f>
        <v>We encourage clients to give feedback via our support system</v>
      </c>
      <c r="J82" s="164">
        <f>IF(Questions!$G82=Questions!$I82,1,0)</f>
        <v>0</v>
      </c>
      <c r="K82" s="164">
        <f>IF(Questions!$H82=1,15,"")</f>
        <v>15</v>
      </c>
      <c r="L82" s="164">
        <f>IF(Questions!$H82=1,J82*K82,"")</f>
        <v>0</v>
      </c>
      <c r="M82" s="180" t="str">
        <f>VLOOKUP($B82,'Standards Crosswalk'!$A:$H,3,FALSE)</f>
        <v>CSC 10</v>
      </c>
      <c r="N82" s="180" t="str">
        <f>VLOOKUP($B82,'Standards Crosswalk'!$A:$H,4,FALSE)</f>
        <v/>
      </c>
      <c r="O82" s="180" t="str">
        <f>VLOOKUP($B82,'Standards Crosswalk'!$A:$H,5,FALSE)</f>
        <v/>
      </c>
      <c r="P82" s="180" t="str">
        <f>VLOOKUP($B82,'Standards Crosswalk'!$A:$H,6,FALSE)</f>
        <v/>
      </c>
      <c r="Q82" s="180" t="str">
        <f>VLOOKUP($B82,'Standards Crosswalk'!$A:$H,7,FALSE)</f>
        <v/>
      </c>
      <c r="R82" s="180" t="str">
        <f>VLOOKUP($B82,'Standards Crosswalk'!$A:$H,8,FALSE)</f>
        <v>CM-3, CM-4, CM-5</v>
      </c>
      <c r="S82" s="180" t="str">
        <f>VLOOKUP($B82,'Standards Crosswalk'!$A:$I,9,FALSE)</f>
        <v/>
      </c>
      <c r="T82" s="164"/>
      <c r="U82" s="164"/>
      <c r="V82" s="164"/>
      <c r="W82" s="164"/>
      <c r="X82" s="164"/>
      <c r="Y82" s="164"/>
      <c r="Z82" s="164"/>
    </row>
    <row r="83" ht="13.5" customHeight="1">
      <c r="A83" s="164">
        <f t="shared" si="3"/>
        <v>81</v>
      </c>
      <c r="B83" s="171" t="s">
        <v>448</v>
      </c>
      <c r="C83" s="164" t="str">
        <f>VLOOKUP(B83,HECVAT!A:E,2,FALSE)</f>
        <v>Does your organization ensure through policy and procedure (that is currently implemented) that only application software verifiable as authorized, tested, and approved for production, and having met all other requirements and reviews necessary for commissioning, is placed into production?</v>
      </c>
      <c r="D83" s="164" t="str">
        <f>VLOOKUP(B83,HECVAT!A:E,4,FALSE)</f>
        <v>All code is tested on dev, then staging before deploying to production. QA lead approves the release only after test plan has been completed on staging</v>
      </c>
      <c r="E83" s="174" t="b">
        <f>IF(Questions!$K83&gt;20,TRUE,FALSE)</f>
        <v>1</v>
      </c>
      <c r="F83" s="174" t="s">
        <v>2739</v>
      </c>
      <c r="G83" s="171" t="s">
        <v>92</v>
      </c>
      <c r="H83" s="176">
        <v>1.0</v>
      </c>
      <c r="I83" s="164" t="str">
        <f>VLOOKUP(B83,HECVAT!A:E,3,FALSE)</f>
        <v>Yes</v>
      </c>
      <c r="J83" s="164">
        <f>IF(Questions!$G83=Questions!$I83,1,0)</f>
        <v>1</v>
      </c>
      <c r="K83" s="164">
        <f>IF(Questions!$H83=1,25,"")</f>
        <v>25</v>
      </c>
      <c r="L83" s="164">
        <f>IF(Questions!$H83=1,J83*K83,"")</f>
        <v>25</v>
      </c>
      <c r="M83" s="180" t="str">
        <f>VLOOKUP($B83,'Standards Crosswalk'!$A:$H,3,FALSE)</f>
        <v>CSC 2</v>
      </c>
      <c r="N83" s="180" t="str">
        <f>VLOOKUP($B83,'Standards Crosswalk'!$A:$H,4,FALSE)</f>
        <v/>
      </c>
      <c r="O83" s="180" t="str">
        <f>VLOOKUP($B83,'Standards Crosswalk'!$A:$H,5,FALSE)</f>
        <v>12.1.1</v>
      </c>
      <c r="P83" s="180" t="str">
        <f>VLOOKUP($B83,'Standards Crosswalk'!$A:$H,6,FALSE)</f>
        <v>PR.DS-6</v>
      </c>
      <c r="Q83" s="180" t="str">
        <f>VLOOKUP($B83,'Standards Crosswalk'!$A:$H,7,FALSE)</f>
        <v>3.4.4</v>
      </c>
      <c r="R83" s="180" t="str">
        <f>VLOOKUP($B83,'Standards Crosswalk'!$A:$H,8,FALSE)</f>
        <v>CM-3, CM-4, CM-5</v>
      </c>
      <c r="S83" s="180">
        <f>VLOOKUP($B83,'Standards Crosswalk'!$A:$I,9,FALSE)</f>
        <v>12.1</v>
      </c>
      <c r="T83" s="164"/>
      <c r="U83" s="164"/>
      <c r="V83" s="164"/>
      <c r="W83" s="164"/>
      <c r="X83" s="164"/>
      <c r="Y83" s="164"/>
      <c r="Z83" s="164"/>
    </row>
    <row r="84" ht="13.5" customHeight="1">
      <c r="A84" s="164">
        <f t="shared" si="3"/>
        <v>82</v>
      </c>
      <c r="B84" s="171" t="s">
        <v>452</v>
      </c>
      <c r="C84" s="164" t="str">
        <f>VLOOKUP(B84,HECVAT!A:E,2,FALSE)</f>
        <v>Do you have a release schedule for product updates?</v>
      </c>
      <c r="D84" s="164" t="str">
        <f>VLOOKUP(B84,HECVAT!A:E,4,FALSE)</f>
        <v>Once a quarter, bug fixes more frequently</v>
      </c>
      <c r="E84" s="174" t="b">
        <f>IF(Questions!$K84&gt;20,TRUE,FALSE)</f>
        <v>0</v>
      </c>
      <c r="F84" s="174" t="s">
        <v>2739</v>
      </c>
      <c r="G84" s="171" t="s">
        <v>92</v>
      </c>
      <c r="H84" s="176">
        <v>1.0</v>
      </c>
      <c r="I84" s="164" t="str">
        <f>VLOOKUP(B84,HECVAT!A:E,3,FALSE)</f>
        <v>Yes</v>
      </c>
      <c r="J84" s="164">
        <f>IF(Questions!$G84=Questions!$I84,1,0)</f>
        <v>1</v>
      </c>
      <c r="K84" s="164">
        <f>IF(Questions!$H84=1,15,"")</f>
        <v>15</v>
      </c>
      <c r="L84" s="164">
        <f>IF(Questions!$H84=1,J84*K84,"")</f>
        <v>15</v>
      </c>
      <c r="M84" s="180" t="str">
        <f>VLOOKUP($B84,'Standards Crosswalk'!$A:$H,3,FALSE)</f>
        <v>CSC 10</v>
      </c>
      <c r="N84" s="180" t="str">
        <f>VLOOKUP($B84,'Standards Crosswalk'!$A:$H,4,FALSE)</f>
        <v/>
      </c>
      <c r="O84" s="180" t="str">
        <f>VLOOKUP($B84,'Standards Crosswalk'!$A:$H,5,FALSE)</f>
        <v/>
      </c>
      <c r="P84" s="180" t="str">
        <f>VLOOKUP($B84,'Standards Crosswalk'!$A:$H,6,FALSE)</f>
        <v/>
      </c>
      <c r="Q84" s="180" t="str">
        <f>VLOOKUP($B84,'Standards Crosswalk'!$A:$H,7,FALSE)</f>
        <v>3.14.4</v>
      </c>
      <c r="R84" s="180" t="str">
        <f>VLOOKUP($B84,'Standards Crosswalk'!$A:$H,8,FALSE)</f>
        <v>CM-3, CM-4, CM-5</v>
      </c>
      <c r="S84" s="180" t="str">
        <f>VLOOKUP($B84,'Standards Crosswalk'!$A:$I,9,FALSE)</f>
        <v/>
      </c>
      <c r="T84" s="164"/>
      <c r="U84" s="164"/>
      <c r="V84" s="164"/>
      <c r="W84" s="164"/>
      <c r="X84" s="164"/>
      <c r="Y84" s="164"/>
      <c r="Z84" s="164"/>
    </row>
    <row r="85" ht="13.5" customHeight="1">
      <c r="A85" s="164">
        <f t="shared" si="3"/>
        <v>83</v>
      </c>
      <c r="B85" s="171" t="s">
        <v>455</v>
      </c>
      <c r="C85" s="164" t="str">
        <f>VLOOKUP(B85,HECVAT!A:E,2,FALSE)</f>
        <v>Do you have a technology roadmap, for the next 2 years, for enhancements and bug fixes for the product/service being assessed?</v>
      </c>
      <c r="D85" s="164" t="str">
        <f>VLOOKUP(B85,HECVAT!A:E,4,FALSE)</f>
        <v>Focus on integrations, focus on new channels for the bot, convergence toward generative bots </v>
      </c>
      <c r="E85" s="174" t="b">
        <f>IF(Questions!$K85&gt;20,TRUE,FALSE)</f>
        <v>0</v>
      </c>
      <c r="F85" s="174" t="s">
        <v>2739</v>
      </c>
      <c r="G85" s="171" t="s">
        <v>92</v>
      </c>
      <c r="H85" s="176">
        <v>1.0</v>
      </c>
      <c r="I85" s="164" t="str">
        <f>VLOOKUP(B85,HECVAT!A:E,3,FALSE)</f>
        <v>Yes</v>
      </c>
      <c r="J85" s="164">
        <f>IF(Questions!$G85=Questions!$I85,1,0)</f>
        <v>1</v>
      </c>
      <c r="K85" s="164">
        <f>IF(Questions!$H85=1,15,"")</f>
        <v>15</v>
      </c>
      <c r="L85" s="164">
        <f>IF(Questions!$H85=1,J85*K85,"")</f>
        <v>15</v>
      </c>
      <c r="M85" s="180" t="str">
        <f>VLOOKUP($B85,'Standards Crosswalk'!$A:$H,3,FALSE)</f>
        <v>CSC 2</v>
      </c>
      <c r="N85" s="180" t="str">
        <f>VLOOKUP($B85,'Standards Crosswalk'!$A:$H,4,FALSE)</f>
        <v/>
      </c>
      <c r="O85" s="180" t="str">
        <f>VLOOKUP($B85,'Standards Crosswalk'!$A:$H,5,FALSE)</f>
        <v/>
      </c>
      <c r="P85" s="180" t="str">
        <f>VLOOKUP($B85,'Standards Crosswalk'!$A:$H,6,FALSE)</f>
        <v/>
      </c>
      <c r="Q85" s="180" t="str">
        <f>VLOOKUP($B85,'Standards Crosswalk'!$A:$H,7,FALSE)</f>
        <v/>
      </c>
      <c r="R85" s="180" t="str">
        <f>VLOOKUP($B85,'Standards Crosswalk'!$A:$H,8,FALSE)</f>
        <v>CM-3, CM-4, CM-5</v>
      </c>
      <c r="S85" s="180" t="str">
        <f>VLOOKUP($B85,'Standards Crosswalk'!$A:$I,9,FALSE)</f>
        <v/>
      </c>
      <c r="T85" s="164"/>
      <c r="U85" s="164"/>
      <c r="V85" s="164"/>
      <c r="W85" s="164"/>
      <c r="X85" s="164"/>
      <c r="Y85" s="164"/>
      <c r="Z85" s="164"/>
    </row>
    <row r="86" ht="13.5" customHeight="1">
      <c r="A86" s="164">
        <f t="shared" si="3"/>
        <v>84</v>
      </c>
      <c r="B86" s="171" t="s">
        <v>457</v>
      </c>
      <c r="C86" s="164" t="str">
        <f>VLOOKUP(B86,HECVAT!A:E,2,FALSE)</f>
        <v>Is Institution involvement (i.e. technically or organizationally) required during product updates?</v>
      </c>
      <c r="D86" s="164" t="str">
        <f>VLOOKUP(B86,HECVAT!A:E,4,FALSE)</f>
        <v>We inform clients with upgrades notification.  Occasionally an upgrade may require some additional training but generally, since all updates happen on the cloud, there are no specific requirements of the client</v>
      </c>
      <c r="E86" s="174" t="b">
        <f>IF(Questions!$K86&gt;20,TRUE,FALSE)</f>
        <v>0</v>
      </c>
      <c r="F86" s="174" t="s">
        <v>2739</v>
      </c>
      <c r="G86" s="171" t="s">
        <v>92</v>
      </c>
      <c r="H86" s="176">
        <v>1.0</v>
      </c>
      <c r="I86" s="164" t="str">
        <f>VLOOKUP(B86,HECVAT!A:E,3,FALSE)</f>
        <v>No</v>
      </c>
      <c r="J86" s="164">
        <f>IF(Questions!$G86=Questions!$I86,1,0)</f>
        <v>0</v>
      </c>
      <c r="K86" s="164">
        <f>IF(Questions!$H86=1,15,"")</f>
        <v>15</v>
      </c>
      <c r="L86" s="164">
        <f>IF(Questions!$H86=1,J86*K86,"")</f>
        <v>0</v>
      </c>
      <c r="M86" s="180" t="str">
        <f>VLOOKUP($B86,'Standards Crosswalk'!$A:$H,3,FALSE)</f>
        <v/>
      </c>
      <c r="N86" s="180" t="str">
        <f>VLOOKUP($B86,'Standards Crosswalk'!$A:$H,4,FALSE)</f>
        <v/>
      </c>
      <c r="O86" s="180" t="str">
        <f>VLOOKUP($B86,'Standards Crosswalk'!$A:$H,5,FALSE)</f>
        <v/>
      </c>
      <c r="P86" s="180" t="str">
        <f>VLOOKUP($B86,'Standards Crosswalk'!$A:$H,6,FALSE)</f>
        <v/>
      </c>
      <c r="Q86" s="180" t="str">
        <f>VLOOKUP($B86,'Standards Crosswalk'!$A:$H,7,FALSE)</f>
        <v/>
      </c>
      <c r="R86" s="180" t="str">
        <f>VLOOKUP($B86,'Standards Crosswalk'!$A:$H,8,FALSE)</f>
        <v>CM-3, CM-4, CM-5</v>
      </c>
      <c r="S86" s="180" t="str">
        <f>VLOOKUP($B86,'Standards Crosswalk'!$A:$I,9,FALSE)</f>
        <v/>
      </c>
      <c r="T86" s="164"/>
      <c r="U86" s="164"/>
      <c r="V86" s="164"/>
      <c r="W86" s="164"/>
      <c r="X86" s="164"/>
      <c r="Y86" s="164"/>
      <c r="Z86" s="164"/>
    </row>
    <row r="87" ht="13.5" customHeight="1">
      <c r="A87" s="164">
        <f t="shared" si="3"/>
        <v>85</v>
      </c>
      <c r="B87" s="171" t="s">
        <v>459</v>
      </c>
      <c r="C87" s="164" t="str">
        <f>VLOOKUP(B87,HECVAT!A:E,2,FALSE)</f>
        <v>Do you have policy and procedure, currently implemented, managing how critical patches are applied to all systems and applications?</v>
      </c>
      <c r="D87" s="164" t="str">
        <f>VLOOKUP(B87,HECVAT!A:E,4,FALSE)</f>
        <v>Critical patches are applied at any time by CTO/Sys Admin</v>
      </c>
      <c r="E87" s="174" t="b">
        <f>IF(Questions!$K87&gt;20,TRUE,FALSE)</f>
        <v>0</v>
      </c>
      <c r="F87" s="174" t="s">
        <v>2739</v>
      </c>
      <c r="G87" s="171" t="s">
        <v>92</v>
      </c>
      <c r="H87" s="176">
        <v>1.0</v>
      </c>
      <c r="I87" s="164" t="str">
        <f>VLOOKUP(B87,HECVAT!A:E,3,FALSE)</f>
        <v>Yes</v>
      </c>
      <c r="J87" s="164">
        <f>IF(Questions!$G87=Questions!$I87,1,0)</f>
        <v>1</v>
      </c>
      <c r="K87" s="164">
        <f>IF(Questions!$H87=1,20,"")</f>
        <v>20</v>
      </c>
      <c r="L87" s="164">
        <f>IF(Questions!$H87=1,J87*K87,"")</f>
        <v>20</v>
      </c>
      <c r="M87" s="180" t="str">
        <f>VLOOKUP($B87,'Standards Crosswalk'!$A:$H,3,FALSE)</f>
        <v>CSC 2</v>
      </c>
      <c r="N87" s="180" t="str">
        <f>VLOOKUP($B87,'Standards Crosswalk'!$A:$H,4,FALSE)</f>
        <v/>
      </c>
      <c r="O87" s="180" t="str">
        <f>VLOOKUP($B87,'Standards Crosswalk'!$A:$H,5,FALSE)</f>
        <v>12.6.1</v>
      </c>
      <c r="P87" s="180" t="str">
        <f>VLOOKUP($B87,'Standards Crosswalk'!$A:$H,6,FALSE)</f>
        <v/>
      </c>
      <c r="Q87" s="180" t="str">
        <f>VLOOKUP($B87,'Standards Crosswalk'!$A:$H,7,FALSE)</f>
        <v/>
      </c>
      <c r="R87" s="180" t="str">
        <f>VLOOKUP($B87,'Standards Crosswalk'!$A:$H,8,FALSE)</f>
        <v>CM-3, CM-4, CM-5</v>
      </c>
      <c r="S87" s="180" t="str">
        <f>VLOOKUP($B87,'Standards Crosswalk'!$A:$I,9,FALSE)</f>
        <v>12.1, 12.8, 6.2</v>
      </c>
      <c r="T87" s="164"/>
      <c r="U87" s="164"/>
      <c r="V87" s="164"/>
      <c r="W87" s="164"/>
      <c r="X87" s="164"/>
      <c r="Y87" s="164"/>
      <c r="Z87" s="164"/>
    </row>
    <row r="88" ht="13.5" customHeight="1">
      <c r="A88" s="164">
        <f t="shared" si="3"/>
        <v>86</v>
      </c>
      <c r="B88" s="171" t="s">
        <v>463</v>
      </c>
      <c r="C88" s="164" t="str">
        <f>VLOOKUP(B88,HECVAT!A:E,2,FALSE)</f>
        <v>Do you have policy and procedure, currently implemented, guiding how security risks are mitigated until patches can be applied?</v>
      </c>
      <c r="D88" s="164" t="str">
        <f>VLOOKUP(B88,HECVAT!A:E,4,FALSE)</f>
        <v>(1) determine severity of risk 
(2) identify immediate risk mitigation options (software "hacks", or system admin config) that can be done quickly before permanent solution can be put in place 
(3) communicate risk to key stakeholders 
(4) risk team approves approach 
(5) apply short term software/hardware/configuration patches 
(6) test solution 
(7) approve solution</v>
      </c>
      <c r="E88" s="174" t="b">
        <f>IF(Questions!$K88&gt;20,TRUE,FALSE)</f>
        <v>0</v>
      </c>
      <c r="F88" s="174" t="s">
        <v>2739</v>
      </c>
      <c r="G88" s="171" t="s">
        <v>92</v>
      </c>
      <c r="H88" s="176">
        <v>1.0</v>
      </c>
      <c r="I88" s="164" t="str">
        <f>VLOOKUP(B88,HECVAT!A:E,3,FALSE)</f>
        <v>Yes</v>
      </c>
      <c r="J88" s="164">
        <f>IF(Questions!$G88=Questions!$I88,1,0)</f>
        <v>1</v>
      </c>
      <c r="K88" s="164">
        <f>IF(Questions!$H88=1,20,"")</f>
        <v>20</v>
      </c>
      <c r="L88" s="164">
        <f>IF(Questions!$H88=1,J88*K88,"")</f>
        <v>20</v>
      </c>
      <c r="M88" s="180" t="str">
        <f>VLOOKUP($B88,'Standards Crosswalk'!$A:$H,3,FALSE)</f>
        <v>CSC 13</v>
      </c>
      <c r="N88" s="180" t="str">
        <f>VLOOKUP($B88,'Standards Crosswalk'!$A:$H,4,FALSE)</f>
        <v>§164.308(a)(1)(ii)(B)</v>
      </c>
      <c r="O88" s="180" t="str">
        <f>VLOOKUP($B88,'Standards Crosswalk'!$A:$H,5,FALSE)</f>
        <v>12.6.1</v>
      </c>
      <c r="P88" s="180" t="str">
        <f>VLOOKUP($B88,'Standards Crosswalk'!$A:$H,6,FALSE)</f>
        <v/>
      </c>
      <c r="Q88" s="180" t="str">
        <f>VLOOKUP($B88,'Standards Crosswalk'!$A:$H,7,FALSE)</f>
        <v/>
      </c>
      <c r="R88" s="180" t="str">
        <f>VLOOKUP($B88,'Standards Crosswalk'!$A:$H,8,FALSE)</f>
        <v>CM-3, CM-4, CM-5</v>
      </c>
      <c r="S88" s="180" t="str">
        <f>VLOOKUP($B88,'Standards Crosswalk'!$A:$I,9,FALSE)</f>
        <v>12.2, 12.8</v>
      </c>
      <c r="T88" s="164"/>
      <c r="U88" s="164"/>
      <c r="V88" s="164"/>
      <c r="W88" s="164"/>
      <c r="X88" s="164"/>
      <c r="Y88" s="164"/>
      <c r="Z88" s="164"/>
    </row>
    <row r="89" ht="13.5" customHeight="1">
      <c r="A89" s="164">
        <f t="shared" si="3"/>
        <v>87</v>
      </c>
      <c r="B89" s="171" t="s">
        <v>467</v>
      </c>
      <c r="C89" s="164" t="str">
        <f>VLOOKUP(B89,HECVAT!A:E,2,FALSE)</f>
        <v>Are upgrades or system changes installed during off-peak hours or in a manner that does not impact the customer?</v>
      </c>
      <c r="D89" s="164" t="str">
        <f>VLOOKUP(B89,HECVAT!A:E,4,FALSE)</f>
        <v>Off-peak hours</v>
      </c>
      <c r="E89" s="174" t="b">
        <f>IF(Questions!$K89&gt;20,TRUE,FALSE)</f>
        <v>0</v>
      </c>
      <c r="F89" s="174" t="s">
        <v>2739</v>
      </c>
      <c r="G89" s="171" t="s">
        <v>92</v>
      </c>
      <c r="H89" s="176">
        <v>1.0</v>
      </c>
      <c r="I89" s="164" t="str">
        <f>VLOOKUP(B89,HECVAT!A:E,3,FALSE)</f>
        <v>Yes</v>
      </c>
      <c r="J89" s="164">
        <f>IF(Questions!$G89=Questions!$I89,1,0)</f>
        <v>1</v>
      </c>
      <c r="K89" s="164">
        <f>IF(Questions!$H89=1,15,"")</f>
        <v>15</v>
      </c>
      <c r="L89" s="164">
        <f>IF(Questions!$H89=1,J89*K89,"")</f>
        <v>15</v>
      </c>
      <c r="M89" s="180" t="str">
        <f>VLOOKUP($B89,'Standards Crosswalk'!$A:$H,3,FALSE)</f>
        <v>CSC 10</v>
      </c>
      <c r="N89" s="180" t="str">
        <f>VLOOKUP($B89,'Standards Crosswalk'!$A:$H,4,FALSE)</f>
        <v/>
      </c>
      <c r="O89" s="180" t="str">
        <f>VLOOKUP($B89,'Standards Crosswalk'!$A:$H,5,FALSE)</f>
        <v/>
      </c>
      <c r="P89" s="180" t="str">
        <f>VLOOKUP($B89,'Standards Crosswalk'!$A:$H,6,FALSE)</f>
        <v/>
      </c>
      <c r="Q89" s="180" t="str">
        <f>VLOOKUP($B89,'Standards Crosswalk'!$A:$H,7,FALSE)</f>
        <v/>
      </c>
      <c r="R89" s="180" t="str">
        <f>VLOOKUP($B89,'Standards Crosswalk'!$A:$H,8,FALSE)</f>
        <v>CM-3, CM-4, CM-5</v>
      </c>
      <c r="S89" s="180" t="str">
        <f>VLOOKUP($B89,'Standards Crosswalk'!$A:$I,9,FALSE)</f>
        <v>12.1, 12.2, 12.8</v>
      </c>
      <c r="T89" s="164"/>
      <c r="U89" s="164"/>
      <c r="V89" s="164"/>
      <c r="W89" s="164"/>
      <c r="X89" s="164"/>
      <c r="Y89" s="164"/>
      <c r="Z89" s="164"/>
    </row>
    <row r="90" ht="13.5" customHeight="1">
      <c r="A90" s="164">
        <f t="shared" si="3"/>
        <v>88</v>
      </c>
      <c r="B90" s="171" t="s">
        <v>472</v>
      </c>
      <c r="C90" s="164" t="str">
        <f>VLOOKUP(B90,HECVAT!A:E,2,FALSE)</f>
        <v>Do procedures exist to provide that emergency changes are documented and authorized (including after the fact approval)?</v>
      </c>
      <c r="D90" s="164" t="str">
        <f>VLOOKUP(B90,HECVAT!A:E,4,FALSE)</f>
        <v>Only in the case of a breach</v>
      </c>
      <c r="E90" s="174" t="b">
        <f>IF(Questions!$K90&gt;20,TRUE,FALSE)</f>
        <v>0</v>
      </c>
      <c r="F90" s="174" t="s">
        <v>2739</v>
      </c>
      <c r="G90" s="171" t="s">
        <v>92</v>
      </c>
      <c r="H90" s="176">
        <v>1.0</v>
      </c>
      <c r="I90" s="164" t="str">
        <f>VLOOKUP(B90,HECVAT!A:E,3,FALSE)</f>
        <v>Yes</v>
      </c>
      <c r="J90" s="164">
        <f>IF(Questions!$G90=Questions!$I90,1,0)</f>
        <v>1</v>
      </c>
      <c r="K90" s="164">
        <f>IF(Questions!$H90=1,15,"")</f>
        <v>15</v>
      </c>
      <c r="L90" s="164">
        <f>IF(Questions!$H90=1,J90*K90,"")</f>
        <v>15</v>
      </c>
      <c r="M90" s="180" t="str">
        <f>VLOOKUP($B90,'Standards Crosswalk'!$A:$H,3,FALSE)</f>
        <v>CSC 10</v>
      </c>
      <c r="N90" s="180" t="str">
        <f>VLOOKUP($B90,'Standards Crosswalk'!$A:$H,4,FALSE)</f>
        <v/>
      </c>
      <c r="O90" s="180" t="str">
        <f>VLOOKUP($B90,'Standards Crosswalk'!$A:$H,5,FALSE)</f>
        <v>12.1.2</v>
      </c>
      <c r="P90" s="180" t="str">
        <f>VLOOKUP($B90,'Standards Crosswalk'!$A:$H,6,FALSE)</f>
        <v>PR.IP-3</v>
      </c>
      <c r="Q90" s="180" t="str">
        <f>VLOOKUP($B90,'Standards Crosswalk'!$A:$H,7,FALSE)</f>
        <v/>
      </c>
      <c r="R90" s="180" t="str">
        <f>VLOOKUP($B90,'Standards Crosswalk'!$A:$H,8,FALSE)</f>
        <v>CM-3, CM-4, CM-5</v>
      </c>
      <c r="S90" s="180" t="str">
        <f>VLOOKUP($B90,'Standards Crosswalk'!$A:$I,9,FALSE)</f>
        <v>12.10, 12.8, 6.4</v>
      </c>
      <c r="T90" s="164"/>
      <c r="U90" s="164"/>
      <c r="V90" s="164"/>
      <c r="W90" s="164"/>
      <c r="X90" s="164"/>
      <c r="Y90" s="164"/>
      <c r="Z90" s="164"/>
    </row>
    <row r="91" ht="13.5" customHeight="1">
      <c r="A91" s="164">
        <f t="shared" si="3"/>
        <v>89</v>
      </c>
      <c r="B91" s="171" t="s">
        <v>475</v>
      </c>
      <c r="C91" s="164" t="str">
        <f>VLOOKUP(B91,HECVAT!A:E,2,FALSE)</f>
        <v>Do you physically and logically separate Institution's data from that of other customers?</v>
      </c>
      <c r="D91" s="164" t="str">
        <f>VLOOKUP(B91,HECVAT!A:E,4,FALSE)</f>
        <v>Data is stored on separate database kubernetes nodes and data is encrypted at rest</v>
      </c>
      <c r="E91" s="174" t="b">
        <f>IF(Questions!$K91&gt;20,TRUE,FALSE)</f>
        <v>1</v>
      </c>
      <c r="F91" s="174" t="s">
        <v>2743</v>
      </c>
      <c r="G91" s="171" t="s">
        <v>92</v>
      </c>
      <c r="H91" s="176">
        <v>1.0</v>
      </c>
      <c r="I91" s="164" t="str">
        <f>VLOOKUP(B91,HECVAT!A:E,3,FALSE)</f>
        <v>Yes</v>
      </c>
      <c r="J91" s="164">
        <f>IF(Questions!$G91=Questions!$I91,1,0)</f>
        <v>1</v>
      </c>
      <c r="K91" s="164">
        <f>IF(Questions!$H91=1,25,"")</f>
        <v>25</v>
      </c>
      <c r="L91" s="164">
        <f>IF(Questions!$H91=1,J91*K91,"")</f>
        <v>25</v>
      </c>
      <c r="M91" s="180" t="str">
        <f>VLOOKUP($B91,'Standards Crosswalk'!$A:$H,3,FALSE)</f>
        <v>CSC 12</v>
      </c>
      <c r="N91" s="180" t="str">
        <f>VLOOKUP($B91,'Standards Crosswalk'!$A:$H,4,FALSE)</f>
        <v/>
      </c>
      <c r="O91" s="180" t="str">
        <f>VLOOKUP($B91,'Standards Crosswalk'!$A:$H,5,FALSE)</f>
        <v/>
      </c>
      <c r="P91" s="180" t="str">
        <f>VLOOKUP($B91,'Standards Crosswalk'!$A:$H,6,FALSE)</f>
        <v>PR.AC-2, PR.IP-5</v>
      </c>
      <c r="Q91" s="180" t="str">
        <f>VLOOKUP($B91,'Standards Crosswalk'!$A:$H,7,FALSE)</f>
        <v>3.1.3, 3.8.1</v>
      </c>
      <c r="R91" s="180" t="str">
        <f>VLOOKUP($B91,'Standards Crosswalk'!$A:$H,8,FALSE)</f>
        <v>AC-4, MP-2, MP-4</v>
      </c>
      <c r="S91" s="180">
        <f>VLOOKUP($B91,'Standards Crosswalk'!$A:$I,9,FALSE)</f>
        <v>12.8</v>
      </c>
      <c r="T91" s="164"/>
      <c r="U91" s="164"/>
      <c r="V91" s="164"/>
      <c r="W91" s="164"/>
      <c r="X91" s="164"/>
      <c r="Y91" s="164"/>
      <c r="Z91" s="164"/>
    </row>
    <row r="92" ht="13.5" customHeight="1">
      <c r="A92" s="164">
        <f t="shared" si="3"/>
        <v>90</v>
      </c>
      <c r="B92" s="171" t="s">
        <v>480</v>
      </c>
      <c r="C92" s="164" t="str">
        <f>VLOOKUP(B92,HECVAT!A:E,2,FALSE)</f>
        <v>Will Institution's data be stored on any devices (database servers, file servers, SAN, NAS, …) configured with non-RFC 1918/4193 (i.e. publicly routable) IP addresses?</v>
      </c>
      <c r="D92" s="212" t="str">
        <f>VLOOKUP(B92,HECVAT!A:E,4,FALSE)</f>
        <v/>
      </c>
      <c r="E92" s="174" t="b">
        <f>IF(Questions!$K92&gt;20,TRUE,FALSE)</f>
        <v>0</v>
      </c>
      <c r="F92" s="174" t="s">
        <v>2743</v>
      </c>
      <c r="G92" s="171" t="s">
        <v>92</v>
      </c>
      <c r="H92" s="176">
        <v>1.0</v>
      </c>
      <c r="I92" s="164" t="str">
        <f>VLOOKUP(B92,HECVAT!A:E,3,FALSE)</f>
        <v>No</v>
      </c>
      <c r="J92" s="164">
        <f>IF(Questions!$G92=Questions!$I92,1,0)</f>
        <v>0</v>
      </c>
      <c r="K92" s="164">
        <f>IF(Questions!$H92=1,15,"")</f>
        <v>15</v>
      </c>
      <c r="L92" s="164">
        <f>IF(Questions!$H92=1,J92*K92,"")</f>
        <v>0</v>
      </c>
      <c r="M92" s="180" t="str">
        <f>VLOOKUP($B92,'Standards Crosswalk'!$A:$H,3,FALSE)</f>
        <v>CSC 12</v>
      </c>
      <c r="N92" s="180" t="str">
        <f>VLOOKUP($B92,'Standards Crosswalk'!$A:$H,4,FALSE)</f>
        <v/>
      </c>
      <c r="O92" s="180" t="str">
        <f>VLOOKUP($B92,'Standards Crosswalk'!$A:$H,5,FALSE)</f>
        <v/>
      </c>
      <c r="P92" s="180" t="str">
        <f>VLOOKUP($B92,'Standards Crosswalk'!$A:$H,6,FALSE)</f>
        <v>PR.AC-2, PR.IP-5</v>
      </c>
      <c r="Q92" s="180" t="str">
        <f>VLOOKUP($B92,'Standards Crosswalk'!$A:$H,7,FALSE)</f>
        <v>3.1.22</v>
      </c>
      <c r="R92" s="180" t="str">
        <f>VLOOKUP($B92,'Standards Crosswalk'!$A:$H,8,FALSE)</f>
        <v>AC-22</v>
      </c>
      <c r="S92" s="180" t="str">
        <f>VLOOKUP($B92,'Standards Crosswalk'!$A:$I,9,FALSE)</f>
        <v>12.8, 9.x</v>
      </c>
      <c r="T92" s="164"/>
      <c r="U92" s="164"/>
      <c r="V92" s="164"/>
      <c r="W92" s="164"/>
      <c r="X92" s="164"/>
      <c r="Y92" s="164"/>
      <c r="Z92" s="164"/>
    </row>
    <row r="93" ht="13.5" customHeight="1">
      <c r="A93" s="164">
        <f t="shared" si="3"/>
        <v>91</v>
      </c>
      <c r="B93" s="171" t="s">
        <v>486</v>
      </c>
      <c r="C93" s="164" t="str">
        <f>VLOOKUP(B93,HECVAT!A:E,2,FALSE)</f>
        <v>Is sensitive data encrypted in transport? (e.g. system-to-client)</v>
      </c>
      <c r="D93" s="212" t="str">
        <f>VLOOKUP(B93,HECVAT!A:E,4,FALSE)</f>
        <v>SSL</v>
      </c>
      <c r="E93" s="174" t="b">
        <f>IF(Questions!$K93&gt;20,TRUE,FALSE)</f>
        <v>1</v>
      </c>
      <c r="F93" s="174" t="s">
        <v>2743</v>
      </c>
      <c r="G93" s="171" t="s">
        <v>92</v>
      </c>
      <c r="H93" s="176">
        <v>1.0</v>
      </c>
      <c r="I93" s="164" t="str">
        <f>VLOOKUP(B93,HECVAT!A:E,3,FALSE)</f>
        <v>Yes</v>
      </c>
      <c r="J93" s="164">
        <f>IF(Questions!$G93=Questions!$I93,1,0)</f>
        <v>1</v>
      </c>
      <c r="K93" s="164">
        <f>IF(Questions!$H93=1,25,"")</f>
        <v>25</v>
      </c>
      <c r="L93" s="164">
        <f>IF(Questions!$H93=1,J93*K93,"")</f>
        <v>25</v>
      </c>
      <c r="M93" s="180" t="str">
        <f>VLOOKUP($B93,'Standards Crosswalk'!$A:$H,3,FALSE)</f>
        <v>CSC 13</v>
      </c>
      <c r="N93" s="180" t="str">
        <f>VLOOKUP($B93,'Standards Crosswalk'!$A:$H,4,FALSE)</f>
        <v/>
      </c>
      <c r="O93" s="180" t="str">
        <f>VLOOKUP($B93,'Standards Crosswalk'!$A:$H,5,FALSE)</f>
        <v>10.1.1</v>
      </c>
      <c r="P93" s="180" t="str">
        <f>VLOOKUP($B93,'Standards Crosswalk'!$A:$H,6,FALSE)</f>
        <v>PR.DS-2</v>
      </c>
      <c r="Q93" s="180" t="str">
        <f>VLOOKUP($B93,'Standards Crosswalk'!$A:$H,7,FALSE)</f>
        <v/>
      </c>
      <c r="R93" s="180" t="str">
        <f>VLOOKUP($B93,'Standards Crosswalk'!$A:$H,8,FALSE)</f>
        <v/>
      </c>
      <c r="S93" s="180" t="str">
        <f>VLOOKUP($B93,'Standards Crosswalk'!$A:$I,9,FALSE)</f>
        <v>12.8, 4.1</v>
      </c>
      <c r="T93" s="164"/>
      <c r="U93" s="164"/>
      <c r="V93" s="164"/>
      <c r="W93" s="164"/>
      <c r="X93" s="164"/>
      <c r="Y93" s="164"/>
      <c r="Z93" s="164"/>
    </row>
    <row r="94" ht="13.5" customHeight="1">
      <c r="A94" s="164">
        <f t="shared" si="3"/>
        <v>92</v>
      </c>
      <c r="B94" s="171" t="s">
        <v>491</v>
      </c>
      <c r="C94" s="164" t="str">
        <f>VLOOKUP(B94,HECVAT!A:E,2,FALSE)</f>
        <v>Is sensitive data encrypted in storage (e.g. disk encryption, at-rest)?</v>
      </c>
      <c r="D94" s="212" t="str">
        <f>VLOOKUP(B94,HECVAT!A:E,4,FALSE)</f>
        <v>At rest encryption</v>
      </c>
      <c r="E94" s="174" t="b">
        <f>IF(Questions!$K94&gt;20,TRUE,FALSE)</f>
        <v>1</v>
      </c>
      <c r="F94" s="174" t="s">
        <v>2743</v>
      </c>
      <c r="G94" s="171" t="s">
        <v>92</v>
      </c>
      <c r="H94" s="176">
        <v>1.0</v>
      </c>
      <c r="I94" s="164" t="str">
        <f>VLOOKUP(B94,HECVAT!A:E,3,FALSE)</f>
        <v>Yes</v>
      </c>
      <c r="J94" s="164">
        <f>IF(Questions!$G94=Questions!$I94,1,0)</f>
        <v>1</v>
      </c>
      <c r="K94" s="164">
        <f>IF(Questions!$H94=1,40,"")</f>
        <v>40</v>
      </c>
      <c r="L94" s="164">
        <f>IF(Questions!$H94=1,J94*K94,"")</f>
        <v>40</v>
      </c>
      <c r="M94" s="180" t="str">
        <f>VLOOKUP($B94,'Standards Crosswalk'!$A:$H,3,FALSE)</f>
        <v>CSC 13</v>
      </c>
      <c r="N94" s="180" t="str">
        <f>VLOOKUP($B94,'Standards Crosswalk'!$A:$H,4,FALSE)</f>
        <v/>
      </c>
      <c r="O94" s="180" t="str">
        <f>VLOOKUP($B94,'Standards Crosswalk'!$A:$H,5,FALSE)</f>
        <v>8.2.3, 10.1.1</v>
      </c>
      <c r="P94" s="180" t="str">
        <f>VLOOKUP($B94,'Standards Crosswalk'!$A:$H,6,FALSE)</f>
        <v>PR.DS-1</v>
      </c>
      <c r="Q94" s="180" t="str">
        <f>VLOOKUP($B94,'Standards Crosswalk'!$A:$H,7,FALSE)</f>
        <v>3.1.19, 3.8.1</v>
      </c>
      <c r="R94" s="180" t="str">
        <f>VLOOKUP($B94,'Standards Crosswalk'!$A:$H,8,FALSE)</f>
        <v>MP-2, AC-19(5)</v>
      </c>
      <c r="S94" s="180">
        <f>VLOOKUP($B94,'Standards Crosswalk'!$A:$I,9,FALSE)</f>
        <v>12.8</v>
      </c>
      <c r="T94" s="164"/>
      <c r="U94" s="164"/>
      <c r="V94" s="164"/>
      <c r="W94" s="164"/>
      <c r="X94" s="164"/>
      <c r="Y94" s="164"/>
      <c r="Z94" s="164"/>
    </row>
    <row r="95" ht="13.5" customHeight="1">
      <c r="A95" s="164">
        <f t="shared" si="3"/>
        <v>93</v>
      </c>
      <c r="B95" s="171" t="s">
        <v>497</v>
      </c>
      <c r="C95" s="164" t="str">
        <f>VLOOKUP(B95,HECVAT!A:E,2,FALSE)</f>
        <v>Do you employ or allow any cryptographic modules that do not conform to the Federal Information Processing Standards (FIPS PUB 140-2)?</v>
      </c>
      <c r="D95" s="212" t="str">
        <f>VLOOKUP(B95,HECVAT!A:E,4,FALSE)</f>
        <v/>
      </c>
      <c r="E95" s="174" t="b">
        <f>IF(Questions!$K95&gt;20,TRUE,FALSE)</f>
        <v>1</v>
      </c>
      <c r="F95" s="174" t="s">
        <v>2743</v>
      </c>
      <c r="G95" s="171" t="s">
        <v>92</v>
      </c>
      <c r="H95" s="176">
        <v>1.0</v>
      </c>
      <c r="I95" s="164" t="str">
        <f>VLOOKUP(B95,HECVAT!A:E,3,FALSE)</f>
        <v>No</v>
      </c>
      <c r="J95" s="164">
        <f>IF(Questions!$G95=Questions!$I95,1,0)</f>
        <v>0</v>
      </c>
      <c r="K95" s="164">
        <f>IF(Questions!$H95=1,25,"")</f>
        <v>25</v>
      </c>
      <c r="L95" s="164">
        <f>IF(Questions!$H95=1,J95*K95,"")</f>
        <v>0</v>
      </c>
      <c r="M95" s="180" t="str">
        <f>VLOOKUP($B95,'Standards Crosswalk'!$A:$H,3,FALSE)</f>
        <v>CSC 13</v>
      </c>
      <c r="N95" s="180" t="str">
        <f>VLOOKUP($B95,'Standards Crosswalk'!$A:$H,4,FALSE)</f>
        <v/>
      </c>
      <c r="O95" s="180" t="str">
        <f>VLOOKUP($B95,'Standards Crosswalk'!$A:$H,5,FALSE)</f>
        <v>8.2.3, 10.1.1</v>
      </c>
      <c r="P95" s="180" t="str">
        <f>VLOOKUP($B95,'Standards Crosswalk'!$A:$H,6,FALSE)</f>
        <v/>
      </c>
      <c r="Q95" s="180" t="str">
        <f>VLOOKUP($B95,'Standards Crosswalk'!$A:$H,7,FALSE)</f>
        <v>3.8.6, 3.13.11</v>
      </c>
      <c r="R95" s="180" t="str">
        <f>VLOOKUP($B95,'Standards Crosswalk'!$A:$H,8,FALSE)</f>
        <v/>
      </c>
      <c r="S95" s="180">
        <f>VLOOKUP($B95,'Standards Crosswalk'!$A:$I,9,FALSE)</f>
        <v>12.1</v>
      </c>
      <c r="T95" s="164"/>
      <c r="U95" s="164"/>
      <c r="V95" s="164"/>
      <c r="W95" s="164"/>
      <c r="X95" s="164"/>
      <c r="Y95" s="164"/>
      <c r="Z95" s="164"/>
    </row>
    <row r="96" ht="13.5" customHeight="1">
      <c r="A96" s="164">
        <f t="shared" si="3"/>
        <v>94</v>
      </c>
      <c r="B96" s="171" t="s">
        <v>500</v>
      </c>
      <c r="C96" s="164" t="str">
        <f>VLOOKUP(B96,HECVAT!A:E,2,FALSE)</f>
        <v>Does your system employ encryption technologies when transmitting sensitive information over TCP/IP networks (e.g., SSH, SSL/TLS, VPN)? (e.g. system-to-system and system-to-client)</v>
      </c>
      <c r="D96" s="164" t="str">
        <f>VLOOKUP(B96,HECVAT!A:E,4,FALSE)</f>
        <v>SSH, TLS, VPN, ALTS</v>
      </c>
      <c r="E96" s="174" t="b">
        <f>IF(Questions!$K96&gt;20,TRUE,FALSE)</f>
        <v>1</v>
      </c>
      <c r="F96" s="174" t="s">
        <v>2743</v>
      </c>
      <c r="G96" s="171" t="s">
        <v>92</v>
      </c>
      <c r="H96" s="176">
        <v>1.0</v>
      </c>
      <c r="I96" s="164" t="str">
        <f>VLOOKUP(B96,HECVAT!A:E,3,FALSE)</f>
        <v>Yes</v>
      </c>
      <c r="J96" s="164">
        <f>IF(Questions!$G96=Questions!$I96,1,0)</f>
        <v>1</v>
      </c>
      <c r="K96" s="164">
        <f>IF(Questions!$H96=1,25,"")</f>
        <v>25</v>
      </c>
      <c r="L96" s="164">
        <f>IF(Questions!$H96=1,J96*K96,"")</f>
        <v>25</v>
      </c>
      <c r="M96" s="180" t="str">
        <f>VLOOKUP($B96,'Standards Crosswalk'!$A:$H,3,FALSE)</f>
        <v>CSC 13</v>
      </c>
      <c r="N96" s="180" t="str">
        <f>VLOOKUP($B96,'Standards Crosswalk'!$A:$H,4,FALSE)</f>
        <v/>
      </c>
      <c r="O96" s="180" t="str">
        <f>VLOOKUP($B96,'Standards Crosswalk'!$A:$H,5,FALSE)</f>
        <v>13.2</v>
      </c>
      <c r="P96" s="180" t="str">
        <f>VLOOKUP($B96,'Standards Crosswalk'!$A:$H,6,FALSE)</f>
        <v>PR.DS-2</v>
      </c>
      <c r="Q96" s="180" t="str">
        <f>VLOOKUP($B96,'Standards Crosswalk'!$A:$H,7,FALSE)</f>
        <v/>
      </c>
      <c r="R96" s="180" t="str">
        <f>VLOOKUP($B96,'Standards Crosswalk'!$A:$H,8,FALSE)</f>
        <v>PE-2, PE-3, PE-5, MP-5</v>
      </c>
      <c r="S96" s="180" t="str">
        <f>VLOOKUP($B96,'Standards Crosswalk'!$A:$I,9,FALSE)</f>
        <v>12.8, 4.1</v>
      </c>
      <c r="T96" s="164"/>
      <c r="U96" s="164"/>
      <c r="V96" s="164"/>
      <c r="W96" s="164"/>
      <c r="X96" s="164"/>
      <c r="Y96" s="164"/>
      <c r="Z96" s="164"/>
    </row>
    <row r="97" ht="13.5" customHeight="1">
      <c r="A97" s="164">
        <f t="shared" si="3"/>
        <v>95</v>
      </c>
      <c r="B97" s="171" t="s">
        <v>504</v>
      </c>
      <c r="C97" s="164" t="str">
        <f>VLOOKUP(B97,HECVAT!A:E,2,FALSE)</f>
        <v>List all locations (i.e. city + datacenter name) where the institution's data will be stored?</v>
      </c>
      <c r="D97" s="164" t="str">
        <f>VLOOKUP(B97,HECVAT!A:E,4,FALSE)</f>
        <v/>
      </c>
      <c r="E97" s="174" t="b">
        <f>IF(Questions!$K97&gt;20,TRUE,FALSE)</f>
        <v>0</v>
      </c>
      <c r="F97" s="174" t="s">
        <v>2743</v>
      </c>
      <c r="G97" s="171"/>
      <c r="H97" s="176">
        <v>1.0</v>
      </c>
      <c r="I97" s="164" t="str">
        <f>VLOOKUP(B97,HECVAT!A:E,3,FALSE)</f>
        <v>Google East Region</v>
      </c>
      <c r="J97" s="164">
        <f>IF(VLOOKUP(Questions!$B97,'Analyst Report'!$A$38:$G$85,7,FALSE)="Yes",1,0)</f>
        <v>0</v>
      </c>
      <c r="K97" s="164">
        <f>IF(Questions!$H97=1,20,"")</f>
        <v>20</v>
      </c>
      <c r="L97" s="164">
        <f>IF(Questions!$H97=1,J97*K97,"")</f>
        <v>0</v>
      </c>
      <c r="M97" s="180" t="str">
        <f>VLOOKUP($B97,'Standards Crosswalk'!$A:$H,3,FALSE)</f>
        <v>CSC 1</v>
      </c>
      <c r="N97" s="180" t="str">
        <f>VLOOKUP($B97,'Standards Crosswalk'!$A:$H,4,FALSE)</f>
        <v/>
      </c>
      <c r="O97" s="180" t="str">
        <f>VLOOKUP($B97,'Standards Crosswalk'!$A:$H,5,FALSE)</f>
        <v/>
      </c>
      <c r="P97" s="180" t="str">
        <f>VLOOKUP($B97,'Standards Crosswalk'!$A:$H,6,FALSE)</f>
        <v/>
      </c>
      <c r="Q97" s="180" t="str">
        <f>VLOOKUP($B97,'Standards Crosswalk'!$A:$H,7,FALSE)</f>
        <v>3.8.1</v>
      </c>
      <c r="R97" s="180" t="str">
        <f>VLOOKUP($B97,'Standards Crosswalk'!$A:$H,8,FALSE)</f>
        <v>MP-2</v>
      </c>
      <c r="S97" s="180" t="str">
        <f>VLOOKUP($B97,'Standards Crosswalk'!$A:$I,9,FALSE)</f>
        <v>12.8, 9.x</v>
      </c>
      <c r="T97" s="164"/>
      <c r="U97" s="164"/>
      <c r="V97" s="164"/>
      <c r="W97" s="164"/>
      <c r="X97" s="164"/>
      <c r="Y97" s="164"/>
      <c r="Z97" s="164"/>
    </row>
    <row r="98" ht="13.5" customHeight="1">
      <c r="A98" s="164">
        <f t="shared" si="3"/>
        <v>96</v>
      </c>
      <c r="B98" s="171" t="s">
        <v>508</v>
      </c>
      <c r="C98" s="164" t="str">
        <f>VLOOKUP(B98,HECVAT!A:E,2,FALSE)</f>
        <v>At the completion of this contract, will data be returned to the institution?</v>
      </c>
      <c r="D98" s="212" t="str">
        <f>VLOOKUP(B98,HECVAT!A:E,4,FALSE)</f>
        <v/>
      </c>
      <c r="E98" s="174" t="b">
        <f>IF(Questions!$K98&gt;20,TRUE,FALSE)</f>
        <v>1</v>
      </c>
      <c r="F98" s="174" t="s">
        <v>2743</v>
      </c>
      <c r="G98" s="171" t="s">
        <v>92</v>
      </c>
      <c r="H98" s="176">
        <v>1.0</v>
      </c>
      <c r="I98" s="164" t="str">
        <f>VLOOKUP(B98,HECVAT!A:E,3,FALSE)</f>
        <v>Yes</v>
      </c>
      <c r="J98" s="164">
        <f>IF(Questions!$G98=Questions!$I98,1,0)</f>
        <v>1</v>
      </c>
      <c r="K98" s="164">
        <f>IF(Questions!$H98=1,25,"")</f>
        <v>25</v>
      </c>
      <c r="L98" s="164">
        <f>IF(Questions!$H98=1,J98*K98,"")</f>
        <v>25</v>
      </c>
      <c r="M98" s="180" t="str">
        <f>VLOOKUP($B98,'Standards Crosswalk'!$A:$H,3,FALSE)</f>
        <v>CSC 13</v>
      </c>
      <c r="N98" s="180" t="str">
        <f>VLOOKUP($B98,'Standards Crosswalk'!$A:$H,4,FALSE)</f>
        <v/>
      </c>
      <c r="O98" s="180" t="str">
        <f>VLOOKUP($B98,'Standards Crosswalk'!$A:$H,5,FALSE)</f>
        <v>8.1.4</v>
      </c>
      <c r="P98" s="180" t="str">
        <f>VLOOKUP($B98,'Standards Crosswalk'!$A:$H,6,FALSE)</f>
        <v/>
      </c>
      <c r="Q98" s="180" t="str">
        <f>VLOOKUP($B98,'Standards Crosswalk'!$A:$H,7,FALSE)</f>
        <v>3.8.1</v>
      </c>
      <c r="R98" s="180" t="str">
        <f>VLOOKUP($B98,'Standards Crosswalk'!$A:$H,8,FALSE)</f>
        <v>MP-2</v>
      </c>
      <c r="S98" s="180">
        <f>VLOOKUP($B98,'Standards Crosswalk'!$A:$I,9,FALSE)</f>
        <v>12.8</v>
      </c>
      <c r="T98" s="164"/>
      <c r="U98" s="164"/>
      <c r="V98" s="164"/>
      <c r="W98" s="164"/>
      <c r="X98" s="164"/>
      <c r="Y98" s="164"/>
      <c r="Z98" s="164"/>
    </row>
    <row r="99" ht="13.5" customHeight="1">
      <c r="A99" s="164">
        <f t="shared" si="3"/>
        <v>97</v>
      </c>
      <c r="B99" s="171" t="s">
        <v>511</v>
      </c>
      <c r="C99" s="164" t="str">
        <f>VLOOKUP(B99,HECVAT!A:E,2,FALSE)</f>
        <v>Will the institution's data be available within the system for a period of time at the completion of this contract?</v>
      </c>
      <c r="D99" s="164" t="str">
        <f>VLOOKUP(B99,HECVAT!A:E,4,FALSE)</f>
        <v>Negotiable, typically 5 years</v>
      </c>
      <c r="E99" s="174" t="b">
        <f>IF(Questions!$K99&gt;20,TRUE,FALSE)</f>
        <v>0</v>
      </c>
      <c r="F99" s="174" t="s">
        <v>2743</v>
      </c>
      <c r="G99" s="171" t="s">
        <v>92</v>
      </c>
      <c r="H99" s="176">
        <v>1.0</v>
      </c>
      <c r="I99" s="164" t="str">
        <f>VLOOKUP(B99,HECVAT!A:E,3,FALSE)</f>
        <v>Yes</v>
      </c>
      <c r="J99" s="164">
        <f>IF(Questions!$G99=Questions!$I99,1,0)</f>
        <v>1</v>
      </c>
      <c r="K99" s="164">
        <f>IF(Questions!$H99=1,20,"")</f>
        <v>20</v>
      </c>
      <c r="L99" s="164">
        <f>IF(Questions!$H99=1,J99*K99,"")</f>
        <v>20</v>
      </c>
      <c r="M99" s="180" t="str">
        <f>VLOOKUP($B99,'Standards Crosswalk'!$A:$H,3,FALSE)</f>
        <v>CSC 13</v>
      </c>
      <c r="N99" s="180" t="str">
        <f>VLOOKUP($B99,'Standards Crosswalk'!$A:$H,4,FALSE)</f>
        <v/>
      </c>
      <c r="O99" s="180" t="str">
        <f>VLOOKUP($B99,'Standards Crosswalk'!$A:$H,5,FALSE)</f>
        <v>8.1.4</v>
      </c>
      <c r="P99" s="180" t="str">
        <f>VLOOKUP($B99,'Standards Crosswalk'!$A:$H,6,FALSE)</f>
        <v/>
      </c>
      <c r="Q99" s="180" t="str">
        <f>VLOOKUP($B99,'Standards Crosswalk'!$A:$H,7,FALSE)</f>
        <v/>
      </c>
      <c r="R99" s="180" t="str">
        <f>VLOOKUP($B99,'Standards Crosswalk'!$A:$H,8,FALSE)</f>
        <v/>
      </c>
      <c r="S99" s="180">
        <f>VLOOKUP($B99,'Standards Crosswalk'!$A:$I,9,FALSE)</f>
        <v>12.8</v>
      </c>
      <c r="T99" s="164"/>
      <c r="U99" s="164"/>
      <c r="V99" s="164"/>
      <c r="W99" s="164"/>
      <c r="X99" s="164"/>
      <c r="Y99" s="164"/>
      <c r="Z99" s="164"/>
    </row>
    <row r="100" ht="13.5" customHeight="1">
      <c r="A100" s="164">
        <f t="shared" si="3"/>
        <v>98</v>
      </c>
      <c r="B100" s="171" t="s">
        <v>513</v>
      </c>
      <c r="C100" s="164" t="str">
        <f>VLOOKUP(B100,HECVAT!A:E,2,FALSE)</f>
        <v>Can the institution extract a full backup of data?</v>
      </c>
      <c r="D100" s="212" t="str">
        <f>VLOOKUP(B100,HECVAT!A:E,4,FALSE)</f>
        <v/>
      </c>
      <c r="E100" s="174" t="b">
        <f>IF(Questions!$K100&gt;20,TRUE,FALSE)</f>
        <v>0</v>
      </c>
      <c r="F100" s="174" t="s">
        <v>2743</v>
      </c>
      <c r="G100" s="171" t="s">
        <v>92</v>
      </c>
      <c r="H100" s="176">
        <v>1.0</v>
      </c>
      <c r="I100" s="164" t="str">
        <f>VLOOKUP(B100,HECVAT!A:E,3,FALSE)</f>
        <v>No</v>
      </c>
      <c r="J100" s="164">
        <f>IF(Questions!$G100=Questions!$I100,1,0)</f>
        <v>0</v>
      </c>
      <c r="K100" s="164">
        <f>IF(Questions!$H100=1,15,"")</f>
        <v>15</v>
      </c>
      <c r="L100" s="164">
        <f>IF(Questions!$H100=1,J100*K100,"")</f>
        <v>0</v>
      </c>
      <c r="M100" s="180" t="str">
        <f>VLOOKUP($B100,'Standards Crosswalk'!$A:$H,3,FALSE)</f>
        <v/>
      </c>
      <c r="N100" s="180" t="str">
        <f>VLOOKUP($B100,'Standards Crosswalk'!$A:$H,4,FALSE)</f>
        <v/>
      </c>
      <c r="O100" s="180" t="str">
        <f>VLOOKUP($B100,'Standards Crosswalk'!$A:$H,5,FALSE)</f>
        <v>12.3.1</v>
      </c>
      <c r="P100" s="180" t="str">
        <f>VLOOKUP($B100,'Standards Crosswalk'!$A:$H,6,FALSE)</f>
        <v/>
      </c>
      <c r="Q100" s="180" t="str">
        <f>VLOOKUP($B100,'Standards Crosswalk'!$A:$H,7,FALSE)</f>
        <v/>
      </c>
      <c r="R100" s="180" t="str">
        <f>VLOOKUP($B100,'Standards Crosswalk'!$A:$H,8,FALSE)</f>
        <v/>
      </c>
      <c r="S100" s="180">
        <f>VLOOKUP($B100,'Standards Crosswalk'!$A:$I,9,FALSE)</f>
        <v>12.8</v>
      </c>
      <c r="T100" s="164"/>
      <c r="U100" s="164"/>
      <c r="V100" s="164"/>
      <c r="W100" s="164"/>
      <c r="X100" s="164"/>
      <c r="Y100" s="164"/>
      <c r="Z100" s="164"/>
    </row>
    <row r="101" ht="13.5" customHeight="1">
      <c r="A101" s="164">
        <f t="shared" si="3"/>
        <v>99</v>
      </c>
      <c r="B101" s="171" t="s">
        <v>517</v>
      </c>
      <c r="C101" s="164" t="str">
        <f>VLOOKUP(B101,HECVAT!A:E,2,FALSE)</f>
        <v>Are ownership rights to all data, inputs, outputs, and metadata retained by the institution?</v>
      </c>
      <c r="D101" s="212" t="str">
        <f>VLOOKUP(B101,HECVAT!A:E,4,FALSE)</f>
        <v/>
      </c>
      <c r="E101" s="174" t="b">
        <f>IF(Questions!$K101&gt;20,TRUE,FALSE)</f>
        <v>1</v>
      </c>
      <c r="F101" s="174" t="s">
        <v>2743</v>
      </c>
      <c r="G101" s="171" t="s">
        <v>92</v>
      </c>
      <c r="H101" s="176">
        <v>1.0</v>
      </c>
      <c r="I101" s="164" t="str">
        <f>VLOOKUP(B101,HECVAT!A:E,3,FALSE)</f>
        <v>Yes</v>
      </c>
      <c r="J101" s="164">
        <f>IF(Questions!$G101=Questions!$I101,1,0)</f>
        <v>1</v>
      </c>
      <c r="K101" s="164">
        <f>IF(Questions!$H101=1,25,"")</f>
        <v>25</v>
      </c>
      <c r="L101" s="164">
        <f>IF(Questions!$H101=1,J101*K101,"")</f>
        <v>25</v>
      </c>
      <c r="M101" s="180" t="str">
        <f>VLOOKUP($B101,'Standards Crosswalk'!$A:$H,3,FALSE)</f>
        <v>CSC 13</v>
      </c>
      <c r="N101" s="180" t="str">
        <f>VLOOKUP($B101,'Standards Crosswalk'!$A:$H,4,FALSE)</f>
        <v/>
      </c>
      <c r="O101" s="180" t="str">
        <f>VLOOKUP($B101,'Standards Crosswalk'!$A:$H,5,FALSE)</f>
        <v>8.1.2</v>
      </c>
      <c r="P101" s="180" t="str">
        <f>VLOOKUP($B101,'Standards Crosswalk'!$A:$H,6,FALSE)</f>
        <v/>
      </c>
      <c r="Q101" s="180" t="str">
        <f>VLOOKUP($B101,'Standards Crosswalk'!$A:$H,7,FALSE)</f>
        <v>3.8.1</v>
      </c>
      <c r="R101" s="180" t="str">
        <f>VLOOKUP($B101,'Standards Crosswalk'!$A:$H,8,FALSE)</f>
        <v/>
      </c>
      <c r="S101" s="180">
        <f>VLOOKUP($B101,'Standards Crosswalk'!$A:$I,9,FALSE)</f>
        <v>12.8</v>
      </c>
      <c r="T101" s="164"/>
      <c r="U101" s="164"/>
      <c r="V101" s="164"/>
      <c r="W101" s="164"/>
      <c r="X101" s="164"/>
      <c r="Y101" s="164"/>
      <c r="Z101" s="164"/>
    </row>
    <row r="102" ht="13.5" customHeight="1">
      <c r="A102" s="164">
        <f t="shared" si="3"/>
        <v>100</v>
      </c>
      <c r="B102" s="171" t="s">
        <v>520</v>
      </c>
      <c r="C102" s="164" t="str">
        <f>VLOOKUP(B102,HECVAT!A:E,2,FALSE)</f>
        <v>Are these rights retained even through a provider acquisition or bankruptcy event?</v>
      </c>
      <c r="D102" s="212" t="str">
        <f>VLOOKUP(B102,HECVAT!A:E,4,FALSE)</f>
        <v>In such events, university data clauses with customers will survive the contractual period</v>
      </c>
      <c r="E102" s="174" t="b">
        <f>IF(Questions!$K102&gt;20,TRUE,FALSE)</f>
        <v>0</v>
      </c>
      <c r="F102" s="174" t="s">
        <v>2743</v>
      </c>
      <c r="G102" s="171" t="s">
        <v>92</v>
      </c>
      <c r="H102" s="176">
        <f>IF(I101="Yes",1,0)</f>
        <v>1</v>
      </c>
      <c r="I102" s="164" t="str">
        <f>VLOOKUP(B102,HECVAT!A:E,3,FALSE)</f>
        <v>Yes</v>
      </c>
      <c r="J102" s="164">
        <f>IF(Questions!$G102=Questions!$I102,1,0)</f>
        <v>1</v>
      </c>
      <c r="K102" s="164">
        <f>15*Questions!$H102</f>
        <v>15</v>
      </c>
      <c r="L102" s="164">
        <f>IF(Questions!$H102=1,J102*K102,"")</f>
        <v>15</v>
      </c>
      <c r="M102" s="180" t="str">
        <f>VLOOKUP($B102,'Standards Crosswalk'!$A:$H,3,FALSE)</f>
        <v>CSC 13</v>
      </c>
      <c r="N102" s="180" t="str">
        <f>VLOOKUP($B102,'Standards Crosswalk'!$A:$H,4,FALSE)</f>
        <v/>
      </c>
      <c r="O102" s="180" t="str">
        <f>VLOOKUP($B102,'Standards Crosswalk'!$A:$H,5,FALSE)</f>
        <v>8.1.2</v>
      </c>
      <c r="P102" s="180" t="str">
        <f>VLOOKUP($B102,'Standards Crosswalk'!$A:$H,6,FALSE)</f>
        <v/>
      </c>
      <c r="Q102" s="180" t="str">
        <f>VLOOKUP($B102,'Standards Crosswalk'!$A:$H,7,FALSE)</f>
        <v>3.8.2</v>
      </c>
      <c r="R102" s="180" t="str">
        <f>VLOOKUP($B102,'Standards Crosswalk'!$A:$H,8,FALSE)</f>
        <v/>
      </c>
      <c r="S102" s="180">
        <f>VLOOKUP($B102,'Standards Crosswalk'!$A:$I,9,FALSE)</f>
        <v>12.8</v>
      </c>
      <c r="T102" s="164"/>
      <c r="U102" s="164"/>
      <c r="V102" s="164"/>
      <c r="W102" s="164"/>
      <c r="X102" s="164"/>
      <c r="Y102" s="164"/>
      <c r="Z102" s="164"/>
    </row>
    <row r="103" ht="13.5" customHeight="1">
      <c r="A103" s="164">
        <f t="shared" si="3"/>
        <v>101</v>
      </c>
      <c r="B103" s="171" t="s">
        <v>523</v>
      </c>
      <c r="C103" s="164" t="str">
        <f>VLOOKUP(B103,HECVAT!A:E,2,FALSE)</f>
        <v>In the event of imminent bankruptcy, closing of business, or retirement of service, will you provide 90 days for customers to get their data out of the system and migrate applications?</v>
      </c>
      <c r="D103" s="212" t="str">
        <f>VLOOKUP(B103,HECVAT!A:E,4,FALSE)</f>
        <v/>
      </c>
      <c r="E103" s="174" t="b">
        <f>IF(Questions!$K103&gt;20,TRUE,FALSE)</f>
        <v>0</v>
      </c>
      <c r="F103" s="174" t="s">
        <v>2743</v>
      </c>
      <c r="G103" s="171" t="s">
        <v>92</v>
      </c>
      <c r="H103" s="176">
        <v>1.0</v>
      </c>
      <c r="I103" s="164" t="str">
        <f>VLOOKUP(B103,HECVAT!A:E,3,FALSE)</f>
        <v>Yes</v>
      </c>
      <c r="J103" s="164">
        <f>IF(Questions!$G103=Questions!$I103,1,0)</f>
        <v>1</v>
      </c>
      <c r="K103" s="164">
        <f>IF(Questions!$H103=1,15,"")</f>
        <v>15</v>
      </c>
      <c r="L103" s="164">
        <f>IF(Questions!$H103=1,J103*K103,"")</f>
        <v>15</v>
      </c>
      <c r="M103" s="180" t="str">
        <f>VLOOKUP($B103,'Standards Crosswalk'!$A:$H,3,FALSE)</f>
        <v>CAC 13</v>
      </c>
      <c r="N103" s="180" t="str">
        <f>VLOOKUP($B103,'Standards Crosswalk'!$A:$H,4,FALSE)</f>
        <v/>
      </c>
      <c r="O103" s="180" t="str">
        <f>VLOOKUP($B103,'Standards Crosswalk'!$A:$H,5,FALSE)</f>
        <v>8.1.2</v>
      </c>
      <c r="P103" s="180" t="str">
        <f>VLOOKUP($B103,'Standards Crosswalk'!$A:$H,6,FALSE)</f>
        <v/>
      </c>
      <c r="Q103" s="180" t="str">
        <f>VLOOKUP($B103,'Standards Crosswalk'!$A:$H,7,FALSE)</f>
        <v>3.8.1</v>
      </c>
      <c r="R103" s="180" t="str">
        <f>VLOOKUP($B103,'Standards Crosswalk'!$A:$H,8,FALSE)</f>
        <v/>
      </c>
      <c r="S103" s="180">
        <f>VLOOKUP($B103,'Standards Crosswalk'!$A:$I,9,FALSE)</f>
        <v>12.8</v>
      </c>
      <c r="T103" s="164"/>
      <c r="U103" s="164"/>
      <c r="V103" s="164"/>
      <c r="W103" s="164"/>
      <c r="X103" s="164"/>
      <c r="Y103" s="164"/>
      <c r="Z103" s="164"/>
    </row>
    <row r="104" ht="13.5" customHeight="1">
      <c r="A104" s="164">
        <f t="shared" si="3"/>
        <v>102</v>
      </c>
      <c r="B104" s="171" t="s">
        <v>527</v>
      </c>
      <c r="C104" s="164" t="str">
        <f>VLOOKUP(B104,HECVAT!A:E,2,FALSE)</f>
        <v>Describe or provide a reference to the backup processes for the servers on which the service and/or data resides. </v>
      </c>
      <c r="D104" s="164" t="str">
        <f>VLOOKUP(B104,HECVAT!A:E,4,FALSE)</f>
        <v/>
      </c>
      <c r="E104" s="174" t="b">
        <f>IF(Questions!$K104&gt;20,TRUE,FALSE)</f>
        <v>0</v>
      </c>
      <c r="F104" s="174" t="s">
        <v>2743</v>
      </c>
      <c r="G104" s="171"/>
      <c r="H104" s="176">
        <v>1.0</v>
      </c>
      <c r="I104" s="164" t="str">
        <f>VLOOKUP(B104,HECVAT!A:E,3,FALSE)</f>
        <v>Hosted on Google Cloud; backups stored on AWS</v>
      </c>
      <c r="J104" s="164">
        <f>IF(VLOOKUP(Questions!$B104,'Analyst Report'!$A$38:$G$85,7,FALSE)="Yes",1,0)</f>
        <v>0</v>
      </c>
      <c r="K104" s="164">
        <f>IF(Questions!$H104=1,20,"")</f>
        <v>20</v>
      </c>
      <c r="L104" s="164">
        <f>IF(Questions!$H104=1,J104*K104,"")</f>
        <v>0</v>
      </c>
      <c r="M104" s="180" t="str">
        <f>VLOOKUP($B104,'Standards Crosswalk'!$A:$H,3,FALSE)</f>
        <v>CSC 10</v>
      </c>
      <c r="N104" s="180" t="str">
        <f>VLOOKUP($B104,'Standards Crosswalk'!$A:$H,4,FALSE)</f>
        <v/>
      </c>
      <c r="O104" s="180" t="str">
        <f>VLOOKUP($B104,'Standards Crosswalk'!$A:$H,5,FALSE)</f>
        <v>12.3.1</v>
      </c>
      <c r="P104" s="180" t="str">
        <f>VLOOKUP($B104,'Standards Crosswalk'!$A:$H,6,FALSE)</f>
        <v>PR.IP-4</v>
      </c>
      <c r="Q104" s="180" t="str">
        <f>VLOOKUP($B104,'Standards Crosswalk'!$A:$H,7,FALSE)</f>
        <v>3.8.9</v>
      </c>
      <c r="R104" s="180" t="str">
        <f>VLOOKUP($B104,'Standards Crosswalk'!$A:$H,8,FALSE)</f>
        <v>CP-9</v>
      </c>
      <c r="S104" s="180" t="str">
        <f>VLOOKUP($B104,'Standards Crosswalk'!$A:$I,9,FALSE)</f>
        <v>9.x</v>
      </c>
      <c r="T104" s="164"/>
      <c r="U104" s="164"/>
      <c r="V104" s="164"/>
      <c r="W104" s="164"/>
      <c r="X104" s="164"/>
      <c r="Y104" s="164"/>
      <c r="Z104" s="164"/>
    </row>
    <row r="105" ht="13.5" customHeight="1">
      <c r="A105" s="164">
        <f t="shared" si="3"/>
        <v>103</v>
      </c>
      <c r="B105" s="171" t="s">
        <v>533</v>
      </c>
      <c r="C105" s="164" t="str">
        <f>VLOOKUP(B105,HECVAT!A:E,2,FALSE)</f>
        <v>Are backup copies made according to pre-defined schedules and securely stored and protected?</v>
      </c>
      <c r="D105" s="212" t="str">
        <f>VLOOKUP(B105,HECVAT!A:E,4,FALSE)</f>
        <v/>
      </c>
      <c r="E105" s="174" t="b">
        <f>IF(Questions!$K105&gt;20,TRUE,FALSE)</f>
        <v>0</v>
      </c>
      <c r="F105" s="174" t="s">
        <v>2743</v>
      </c>
      <c r="G105" s="171" t="s">
        <v>92</v>
      </c>
      <c r="H105" s="176">
        <v>1.0</v>
      </c>
      <c r="I105" s="164" t="str">
        <f>VLOOKUP(B105,HECVAT!A:E,3,FALSE)</f>
        <v>Yes</v>
      </c>
      <c r="J105" s="164">
        <f>IF(Questions!$G105=Questions!$I105,1,0)</f>
        <v>1</v>
      </c>
      <c r="K105" s="164">
        <f>IF(Questions!$H105=1,20,"")</f>
        <v>20</v>
      </c>
      <c r="L105" s="164">
        <f>IF(Questions!$H105=1,J105*K105,"")</f>
        <v>20</v>
      </c>
      <c r="M105" s="180" t="str">
        <f>VLOOKUP($B105,'Standards Crosswalk'!$A:$H,3,FALSE)</f>
        <v>CSC 10</v>
      </c>
      <c r="N105" s="180" t="str">
        <f>VLOOKUP($B105,'Standards Crosswalk'!$A:$H,4,FALSE)</f>
        <v/>
      </c>
      <c r="O105" s="180" t="str">
        <f>VLOOKUP($B105,'Standards Crosswalk'!$A:$H,5,FALSE)</f>
        <v>12.3.1</v>
      </c>
      <c r="P105" s="180" t="str">
        <f>VLOOKUP($B105,'Standards Crosswalk'!$A:$H,6,FALSE)</f>
        <v>PR.IP-4</v>
      </c>
      <c r="Q105" s="180" t="str">
        <f>VLOOKUP($B105,'Standards Crosswalk'!$A:$H,7,FALSE)</f>
        <v>3.8.9</v>
      </c>
      <c r="R105" s="180" t="str">
        <f>VLOOKUP($B105,'Standards Crosswalk'!$A:$H,8,FALSE)</f>
        <v>CP-9</v>
      </c>
      <c r="S105" s="180">
        <f>VLOOKUP($B105,'Standards Crosswalk'!$A:$I,9,FALSE)</f>
        <v>12.8</v>
      </c>
      <c r="T105" s="164"/>
      <c r="U105" s="164"/>
      <c r="V105" s="164"/>
      <c r="W105" s="164"/>
      <c r="X105" s="164"/>
      <c r="Y105" s="164"/>
      <c r="Z105" s="164"/>
    </row>
    <row r="106" ht="13.5" customHeight="1">
      <c r="A106" s="164">
        <f t="shared" si="3"/>
        <v>104</v>
      </c>
      <c r="B106" s="171" t="s">
        <v>535</v>
      </c>
      <c r="C106" s="164" t="str">
        <f>VLOOKUP(B106,HECVAT!A:E,2,FALSE)</f>
        <v>How long are data backups stored?</v>
      </c>
      <c r="D106" s="164" t="str">
        <f>VLOOKUP(B106,HECVAT!A:E,4,FALSE)</f>
        <v/>
      </c>
      <c r="E106" s="174" t="b">
        <f>IF(Questions!$K106&gt;20,TRUE,FALSE)</f>
        <v>0</v>
      </c>
      <c r="F106" s="174" t="s">
        <v>2743</v>
      </c>
      <c r="G106" s="171"/>
      <c r="H106" s="176">
        <v>1.0</v>
      </c>
      <c r="I106" s="164" t="str">
        <f>VLOOKUP(B106,HECVAT!A:E,3,FALSE)</f>
        <v>5 years</v>
      </c>
      <c r="J106" s="164">
        <f>IF(VLOOKUP(Questions!$B106,'Analyst Report'!$A$38:$G$85,7,FALSE)="Yes",1,0)</f>
        <v>0</v>
      </c>
      <c r="K106" s="164">
        <f>IF(Questions!$H106=1,20,"")</f>
        <v>20</v>
      </c>
      <c r="L106" s="164">
        <f>IF(Questions!$H106=1,J106*K106,"")</f>
        <v>0</v>
      </c>
      <c r="M106" s="180" t="str">
        <f>VLOOKUP($B106,'Standards Crosswalk'!$A:$H,3,FALSE)</f>
        <v>CSC 10</v>
      </c>
      <c r="N106" s="180" t="str">
        <f>VLOOKUP($B106,'Standards Crosswalk'!$A:$H,4,FALSE)</f>
        <v/>
      </c>
      <c r="O106" s="180" t="str">
        <f>VLOOKUP($B106,'Standards Crosswalk'!$A:$H,5,FALSE)</f>
        <v>12.3.1</v>
      </c>
      <c r="P106" s="180" t="str">
        <f>VLOOKUP($B106,'Standards Crosswalk'!$A:$H,6,FALSE)</f>
        <v>PR.IP-4</v>
      </c>
      <c r="Q106" s="180" t="str">
        <f>VLOOKUP($B106,'Standards Crosswalk'!$A:$H,7,FALSE)</f>
        <v>3.8.9</v>
      </c>
      <c r="R106" s="180" t="str">
        <f>VLOOKUP($B106,'Standards Crosswalk'!$A:$H,8,FALSE)</f>
        <v>CP-9</v>
      </c>
      <c r="S106" s="180" t="str">
        <f>VLOOKUP($B106,'Standards Crosswalk'!$A:$I,9,FALSE)</f>
        <v/>
      </c>
      <c r="T106" s="164"/>
      <c r="U106" s="164"/>
      <c r="V106" s="164"/>
      <c r="W106" s="164"/>
      <c r="X106" s="164"/>
      <c r="Y106" s="164"/>
      <c r="Z106" s="164"/>
    </row>
    <row r="107" ht="13.5" customHeight="1">
      <c r="A107" s="164">
        <f t="shared" si="3"/>
        <v>105</v>
      </c>
      <c r="B107" s="171" t="s">
        <v>537</v>
      </c>
      <c r="C107" s="164" t="str">
        <f>VLOOKUP(B107,HECVAT!A:E,2,FALSE)</f>
        <v>Are data backups encrypted?</v>
      </c>
      <c r="D107" s="212" t="str">
        <f>VLOOKUP(B107,HECVAT!A:E,4,FALSE)</f>
        <v>All data is encrypted at rest in storage</v>
      </c>
      <c r="E107" s="174" t="b">
        <f>IF(Questions!$K107&gt;20,TRUE,FALSE)</f>
        <v>1</v>
      </c>
      <c r="F107" s="174" t="s">
        <v>2743</v>
      </c>
      <c r="G107" s="171" t="s">
        <v>92</v>
      </c>
      <c r="H107" s="176">
        <v>1.0</v>
      </c>
      <c r="I107" s="164" t="str">
        <f>VLOOKUP(B107,HECVAT!A:E,3,FALSE)</f>
        <v>Yes</v>
      </c>
      <c r="J107" s="164">
        <f>IF(Questions!$G107=Questions!$I107,1,0)</f>
        <v>1</v>
      </c>
      <c r="K107" s="164">
        <f>IF(Questions!$H107=1,25,"")</f>
        <v>25</v>
      </c>
      <c r="L107" s="164">
        <f>IF(Questions!$H107=1,J107*K107,"")</f>
        <v>25</v>
      </c>
      <c r="M107" s="180" t="str">
        <f>VLOOKUP($B107,'Standards Crosswalk'!$A:$H,3,FALSE)</f>
        <v>CSC 10</v>
      </c>
      <c r="N107" s="180" t="str">
        <f>VLOOKUP($B107,'Standards Crosswalk'!$A:$H,4,FALSE)</f>
        <v/>
      </c>
      <c r="O107" s="180" t="str">
        <f>VLOOKUP($B107,'Standards Crosswalk'!$A:$H,5,FALSE)</f>
        <v>12.3.1</v>
      </c>
      <c r="P107" s="180" t="str">
        <f>VLOOKUP($B107,'Standards Crosswalk'!$A:$H,6,FALSE)</f>
        <v>PR.DS-1, PR.IP-4</v>
      </c>
      <c r="Q107" s="180" t="str">
        <f>VLOOKUP($B107,'Standards Crosswalk'!$A:$H,7,FALSE)</f>
        <v>3.8.9</v>
      </c>
      <c r="R107" s="180" t="str">
        <f>VLOOKUP($B107,'Standards Crosswalk'!$A:$H,8,FALSE)</f>
        <v>CP-9</v>
      </c>
      <c r="S107" s="180" t="str">
        <f>VLOOKUP($B107,'Standards Crosswalk'!$A:$I,9,FALSE)</f>
        <v/>
      </c>
      <c r="T107" s="164"/>
      <c r="U107" s="164"/>
      <c r="V107" s="164"/>
      <c r="W107" s="164"/>
      <c r="X107" s="164"/>
      <c r="Y107" s="164"/>
      <c r="Z107" s="164"/>
    </row>
    <row r="108" ht="13.5" customHeight="1">
      <c r="A108" s="164">
        <f t="shared" si="3"/>
        <v>106</v>
      </c>
      <c r="B108" s="171" t="s">
        <v>540</v>
      </c>
      <c r="C108" s="164" t="str">
        <f>VLOOKUP(B108,HECVAT!A:E,2,FALSE)</f>
        <v>Do you have a cryptographic key management process (generation, exchange, storage, safeguards, use, vetting, and replacement), that is documented and currently implemented, for all system components? (e.g. database, system, web, etc.)</v>
      </c>
      <c r="D108" s="164" t="str">
        <f>VLOOKUP(B108,HECVAT!A:E,4,FALSE)</f>
        <v>We use Google's key management process</v>
      </c>
      <c r="E108" s="174" t="b">
        <f>IF(Questions!$K108&gt;20,TRUE,FALSE)</f>
        <v>0</v>
      </c>
      <c r="F108" s="174" t="s">
        <v>2743</v>
      </c>
      <c r="G108" s="171" t="s">
        <v>92</v>
      </c>
      <c r="H108" s="176">
        <v>1.0</v>
      </c>
      <c r="I108" s="164" t="str">
        <f>VLOOKUP(B108,HECVAT!A:E,3,FALSE)</f>
        <v>Yes</v>
      </c>
      <c r="J108" s="164">
        <f>IF(Questions!$G108=Questions!$I108,1,0)</f>
        <v>1</v>
      </c>
      <c r="K108" s="164">
        <f>IF(Questions!$H108=1,15,"")</f>
        <v>15</v>
      </c>
      <c r="L108" s="164">
        <f>IF(Questions!$H108=1,J108*K108,"")</f>
        <v>15</v>
      </c>
      <c r="M108" s="180" t="str">
        <f>VLOOKUP($B108,'Standards Crosswalk'!$A:$H,3,FALSE)</f>
        <v>CSC 10</v>
      </c>
      <c r="N108" s="180" t="str">
        <f>VLOOKUP($B108,'Standards Crosswalk'!$A:$H,4,FALSE)</f>
        <v/>
      </c>
      <c r="O108" s="180" t="str">
        <f>VLOOKUP($B108,'Standards Crosswalk'!$A:$H,5,FALSE)</f>
        <v>10.1.2</v>
      </c>
      <c r="P108" s="180" t="str">
        <f>VLOOKUP($B108,'Standards Crosswalk'!$A:$H,6,FALSE)</f>
        <v/>
      </c>
      <c r="Q108" s="180" t="str">
        <f>VLOOKUP($B108,'Standards Crosswalk'!$A:$H,7,FALSE)</f>
        <v>3.13.10</v>
      </c>
      <c r="R108" s="180" t="str">
        <f>VLOOKUP($B108,'Standards Crosswalk'!$A:$H,8,FALSE)</f>
        <v>SC-28, SC-13, FIPS PUB 140-2</v>
      </c>
      <c r="S108" s="180" t="str">
        <f>VLOOKUP($B108,'Standards Crosswalk'!$A:$I,9,FALSE)</f>
        <v/>
      </c>
      <c r="T108" s="164"/>
      <c r="U108" s="164"/>
      <c r="V108" s="164"/>
      <c r="W108" s="164"/>
      <c r="X108" s="164"/>
      <c r="Y108" s="164"/>
      <c r="Z108" s="164"/>
    </row>
    <row r="109" ht="13.5" customHeight="1">
      <c r="A109" s="164">
        <f t="shared" si="3"/>
        <v>107</v>
      </c>
      <c r="B109" s="171" t="s">
        <v>549</v>
      </c>
      <c r="C109" s="164" t="str">
        <f>VLOOKUP(B109,HECVAT!A:E,2,FALSE)</f>
        <v>Are you performing off site backups? (i.e. digitally moved off site)</v>
      </c>
      <c r="D109" s="212" t="str">
        <f>VLOOKUP(B109,HECVAT!A:E,4,FALSE)</f>
        <v/>
      </c>
      <c r="E109" s="174" t="b">
        <f>IF(Questions!$K109&gt;20,TRUE,FALSE)</f>
        <v>0</v>
      </c>
      <c r="F109" s="174" t="s">
        <v>2743</v>
      </c>
      <c r="G109" s="171" t="s">
        <v>92</v>
      </c>
      <c r="H109" s="176">
        <v>1.0</v>
      </c>
      <c r="I109" s="164" t="str">
        <f>VLOOKUP(B109,HECVAT!A:E,3,FALSE)</f>
        <v>Yes</v>
      </c>
      <c r="J109" s="164">
        <f>IF(Questions!$G109=Questions!$I109,1,0)</f>
        <v>1</v>
      </c>
      <c r="K109" s="164">
        <f>IF(Questions!$H109=1,10,"")</f>
        <v>10</v>
      </c>
      <c r="L109" s="164">
        <f>IF(Questions!$H109=1,J109*K109,"")</f>
        <v>10</v>
      </c>
      <c r="M109" s="180" t="str">
        <f>VLOOKUP($B109,'Standards Crosswalk'!$A:$H,3,FALSE)</f>
        <v>CSC 10</v>
      </c>
      <c r="N109" s="180" t="str">
        <f>VLOOKUP($B109,'Standards Crosswalk'!$A:$H,4,FALSE)</f>
        <v/>
      </c>
      <c r="O109" s="180" t="str">
        <f>VLOOKUP($B109,'Standards Crosswalk'!$A:$H,5,FALSE)</f>
        <v>12.3.1</v>
      </c>
      <c r="P109" s="180" t="str">
        <f>VLOOKUP($B109,'Standards Crosswalk'!$A:$H,6,FALSE)</f>
        <v>PR.IP-4</v>
      </c>
      <c r="Q109" s="180" t="str">
        <f>VLOOKUP($B109,'Standards Crosswalk'!$A:$H,7,FALSE)</f>
        <v>3.8.1, 3.8.9</v>
      </c>
      <c r="R109" s="180" t="str">
        <f>VLOOKUP($B109,'Standards Crosswalk'!$A:$H,8,FALSE)</f>
        <v>CP-9</v>
      </c>
      <c r="S109" s="180" t="str">
        <f>VLOOKUP($B109,'Standards Crosswalk'!$A:$I,9,FALSE)</f>
        <v>9.x</v>
      </c>
      <c r="T109" s="164"/>
      <c r="U109" s="164"/>
      <c r="V109" s="164"/>
      <c r="W109" s="164"/>
      <c r="X109" s="164"/>
      <c r="Y109" s="164"/>
      <c r="Z109" s="164"/>
    </row>
    <row r="110" ht="13.5" customHeight="1">
      <c r="A110" s="164">
        <f t="shared" si="3"/>
        <v>108</v>
      </c>
      <c r="B110" s="171" t="s">
        <v>552</v>
      </c>
      <c r="C110" s="164" t="str">
        <f>VLOOKUP(B110,HECVAT!A:E,2,FALSE)</f>
        <v>Are physical backups taken off site? (i.e. physically moved off site)</v>
      </c>
      <c r="D110" s="212" t="str">
        <f>VLOOKUP(B110,HECVAT!A:E,4,FALSE)</f>
        <v/>
      </c>
      <c r="E110" s="174" t="b">
        <f>IF(Questions!$K110&gt;20,TRUE,FALSE)</f>
        <v>0</v>
      </c>
      <c r="F110" s="174" t="s">
        <v>2743</v>
      </c>
      <c r="G110" s="171" t="s">
        <v>92</v>
      </c>
      <c r="H110" s="176">
        <v>1.0</v>
      </c>
      <c r="I110" s="164" t="str">
        <f>VLOOKUP(B110,HECVAT!A:E,3,FALSE)</f>
        <v>No</v>
      </c>
      <c r="J110" s="164">
        <f>IF(Questions!$G110=Questions!$I110,1,0)</f>
        <v>0</v>
      </c>
      <c r="K110" s="164">
        <f>IF(Questions!$H110=1,20,"")</f>
        <v>20</v>
      </c>
      <c r="L110" s="164">
        <f>IF(Questions!$H110=1,J110*K110,"")</f>
        <v>0</v>
      </c>
      <c r="M110" s="180" t="str">
        <f>VLOOKUP($B110,'Standards Crosswalk'!$A:$H,3,FALSE)</f>
        <v>CSC 10</v>
      </c>
      <c r="N110" s="180" t="str">
        <f>VLOOKUP($B110,'Standards Crosswalk'!$A:$H,4,FALSE)</f>
        <v/>
      </c>
      <c r="O110" s="180" t="str">
        <f>VLOOKUP($B110,'Standards Crosswalk'!$A:$H,5,FALSE)</f>
        <v>12.3.1</v>
      </c>
      <c r="P110" s="180" t="str">
        <f>VLOOKUP($B110,'Standards Crosswalk'!$A:$H,6,FALSE)</f>
        <v>PR.IP-4</v>
      </c>
      <c r="Q110" s="180" t="str">
        <f>VLOOKUP($B110,'Standards Crosswalk'!$A:$H,7,FALSE)</f>
        <v>3.8.1, 3.8.5, 3.8.9</v>
      </c>
      <c r="R110" s="180" t="str">
        <f>VLOOKUP($B110,'Standards Crosswalk'!$A:$H,8,FALSE)</f>
        <v>CP-9, MP-5</v>
      </c>
      <c r="S110" s="180" t="str">
        <f>VLOOKUP($B110,'Standards Crosswalk'!$A:$I,9,FALSE)</f>
        <v>9.x</v>
      </c>
      <c r="T110" s="164"/>
      <c r="U110" s="164"/>
      <c r="V110" s="164"/>
      <c r="W110" s="164"/>
      <c r="X110" s="164"/>
      <c r="Y110" s="164"/>
      <c r="Z110" s="164"/>
    </row>
    <row r="111" ht="13.5" customHeight="1">
      <c r="A111" s="164">
        <f t="shared" si="3"/>
        <v>109</v>
      </c>
      <c r="B111" s="171" t="s">
        <v>556</v>
      </c>
      <c r="C111" s="164" t="str">
        <f>VLOOKUP(B111,HECVAT!A:E,2,FALSE)</f>
        <v>Do backups containing the institution's data ever leave the Institution's Data Zone either physically or via network routing?</v>
      </c>
      <c r="D111" s="212" t="str">
        <f>VLOOKUP(B111,HECVAT!A:E,4,FALSE)</f>
        <v/>
      </c>
      <c r="E111" s="174" t="b">
        <f>IF(Questions!$K111&gt;20,TRUE,FALSE)</f>
        <v>0</v>
      </c>
      <c r="F111" s="174" t="s">
        <v>2743</v>
      </c>
      <c r="G111" s="171" t="s">
        <v>92</v>
      </c>
      <c r="H111" s="176">
        <v>1.0</v>
      </c>
      <c r="I111" s="164" t="str">
        <f>VLOOKUP(B111,HECVAT!A:E,3,FALSE)</f>
        <v>No</v>
      </c>
      <c r="J111" s="164">
        <f>IF(Questions!$G111=Questions!$I111,1,0)</f>
        <v>0</v>
      </c>
      <c r="K111" s="164">
        <f>IF(Questions!$H111=1,20,"")</f>
        <v>20</v>
      </c>
      <c r="L111" s="164">
        <f>IF(Questions!$H111=1,J111*K111,"")</f>
        <v>0</v>
      </c>
      <c r="M111" s="180" t="str">
        <f>VLOOKUP($B111,'Standards Crosswalk'!$A:$H,3,FALSE)</f>
        <v>CSC 13</v>
      </c>
      <c r="N111" s="180" t="str">
        <f>VLOOKUP($B111,'Standards Crosswalk'!$A:$H,4,FALSE)</f>
        <v/>
      </c>
      <c r="O111" s="180" t="str">
        <f>VLOOKUP($B111,'Standards Crosswalk'!$A:$H,5,FALSE)</f>
        <v>12.3.1</v>
      </c>
      <c r="P111" s="180" t="str">
        <f>VLOOKUP($B111,'Standards Crosswalk'!$A:$H,6,FALSE)</f>
        <v/>
      </c>
      <c r="Q111" s="180" t="str">
        <f>VLOOKUP($B111,'Standards Crosswalk'!$A:$H,7,FALSE)</f>
        <v>3.8.9</v>
      </c>
      <c r="R111" s="180" t="str">
        <f>VLOOKUP($B111,'Standards Crosswalk'!$A:$H,8,FALSE)</f>
        <v>CP-9, MP-5</v>
      </c>
      <c r="S111" s="180">
        <f>VLOOKUP($B111,'Standards Crosswalk'!$A:$I,9,FALSE)</f>
        <v>12.8</v>
      </c>
      <c r="T111" s="164"/>
      <c r="U111" s="164"/>
      <c r="V111" s="164"/>
      <c r="W111" s="164"/>
      <c r="X111" s="164"/>
      <c r="Y111" s="164"/>
      <c r="Z111" s="164"/>
    </row>
    <row r="112" ht="13.5" customHeight="1">
      <c r="A112" s="164">
        <f t="shared" si="3"/>
        <v>110</v>
      </c>
      <c r="B112" s="171" t="s">
        <v>558</v>
      </c>
      <c r="C112" s="164" t="str">
        <f>VLOOKUP(B112,HECVAT!A:E,2,FALSE)</f>
        <v>Do you have a media handling process, that is documented and currently implemented, including end-of-life, repurposing, and data sanitization procedures?</v>
      </c>
      <c r="D112" s="164" t="str">
        <f>VLOOKUP(B112,HECVAT!A:E,4,FALSE)</f>
        <v>No media handling process. All backups are stored on AWS</v>
      </c>
      <c r="E112" s="174" t="b">
        <f>IF(Questions!$K112&gt;20,TRUE,FALSE)</f>
        <v>1</v>
      </c>
      <c r="F112" s="174" t="s">
        <v>2743</v>
      </c>
      <c r="G112" s="171" t="s">
        <v>85</v>
      </c>
      <c r="H112" s="176">
        <v>1.0</v>
      </c>
      <c r="I112" s="164" t="str">
        <f>VLOOKUP(B112,HECVAT!A:E,3,FALSE)</f>
        <v>No</v>
      </c>
      <c r="J112" s="164">
        <f>IF(Questions!$G112=Questions!$I112,1,0)</f>
        <v>1</v>
      </c>
      <c r="K112" s="164">
        <f>IF(Questions!$H112=1,25,"")</f>
        <v>25</v>
      </c>
      <c r="L112" s="164">
        <f>IF(Questions!$H112=1,J112*K112,"")</f>
        <v>25</v>
      </c>
      <c r="M112" s="180" t="str">
        <f>VLOOKUP($B112,'Standards Crosswalk'!$A:$H,3,FALSE)</f>
        <v>CSC 13</v>
      </c>
      <c r="N112" s="180" t="str">
        <f>VLOOKUP($B112,'Standards Crosswalk'!$A:$H,4,FALSE)</f>
        <v/>
      </c>
      <c r="O112" s="180" t="str">
        <f>VLOOKUP($B112,'Standards Crosswalk'!$A:$H,5,FALSE)</f>
        <v>8.3.1</v>
      </c>
      <c r="P112" s="180" t="str">
        <f>VLOOKUP($B112,'Standards Crosswalk'!$A:$H,6,FALSE)</f>
        <v>PR.DS-3</v>
      </c>
      <c r="Q112" s="180" t="str">
        <f>VLOOKUP($B112,'Standards Crosswalk'!$A:$H,7,FALSE)</f>
        <v>3.7.1, 3.7.2, 3.8.3</v>
      </c>
      <c r="R112" s="180" t="str">
        <f>VLOOKUP($B112,'Standards Crosswalk'!$A:$H,8,FALSE)</f>
        <v>CP-9 MP-6, NIST SP 800-60, NIST SP 800-88, AC-2, AC-6, IA-4, PM-2, PM-10, SI-5, MA-2, MA-3, MP-6</v>
      </c>
      <c r="S112" s="180" t="str">
        <f>VLOOKUP($B112,'Standards Crosswalk'!$A:$I,9,FALSE)</f>
        <v>9.x</v>
      </c>
      <c r="T112" s="164"/>
      <c r="U112" s="164"/>
      <c r="V112" s="164"/>
      <c r="W112" s="164"/>
      <c r="X112" s="164"/>
      <c r="Y112" s="164"/>
      <c r="Z112" s="164"/>
    </row>
    <row r="113" ht="13.5" customHeight="1">
      <c r="A113" s="164">
        <f t="shared" si="3"/>
        <v>111</v>
      </c>
      <c r="B113" s="171" t="s">
        <v>564</v>
      </c>
      <c r="C113" s="164" t="str">
        <f>VLOOKUP(B113,HECVAT!A:E,2,FALSE)</f>
        <v>Does the process described in DATA-23 adhere to DoD 5220.22-M and/or NIST SP 800-88 standards?</v>
      </c>
      <c r="D113" s="212" t="str">
        <f>VLOOKUP(B113,HECVAT!A:E,4,FALSE)</f>
        <v/>
      </c>
      <c r="E113" s="174" t="b">
        <f>IF(Questions!$K113&gt;20,TRUE,FALSE)</f>
        <v>0</v>
      </c>
      <c r="F113" s="174" t="s">
        <v>2743</v>
      </c>
      <c r="G113" s="171" t="s">
        <v>92</v>
      </c>
      <c r="H113" s="176">
        <v>1.0</v>
      </c>
      <c r="I113" s="164" t="str">
        <f>VLOOKUP(B113,HECVAT!A:E,3,FALSE)</f>
        <v>Yes</v>
      </c>
      <c r="J113" s="164">
        <f>IF(Questions!$G113=Questions!$I113,1,0)</f>
        <v>1</v>
      </c>
      <c r="K113" s="164">
        <f>IF(Questions!$H113=1,15,"")</f>
        <v>15</v>
      </c>
      <c r="L113" s="164">
        <f>IF(Questions!$H113=1,J113*K113,"")</f>
        <v>15</v>
      </c>
      <c r="M113" s="180" t="str">
        <f>VLOOKUP($B113,'Standards Crosswalk'!$A:$H,3,FALSE)</f>
        <v>CSC 13</v>
      </c>
      <c r="N113" s="180" t="str">
        <f>VLOOKUP($B113,'Standards Crosswalk'!$A:$H,4,FALSE)</f>
        <v/>
      </c>
      <c r="O113" s="180" t="str">
        <f>VLOOKUP($B113,'Standards Crosswalk'!$A:$H,5,FALSE)</f>
        <v>8.3.1, 18.1.1</v>
      </c>
      <c r="P113" s="180" t="str">
        <f>VLOOKUP($B113,'Standards Crosswalk'!$A:$H,6,FALSE)</f>
        <v>PR.DS-3</v>
      </c>
      <c r="Q113" s="180" t="str">
        <f>VLOOKUP($B113,'Standards Crosswalk'!$A:$H,7,FALSE)</f>
        <v>3.7.3, 3.8.3,</v>
      </c>
      <c r="R113" s="180" t="str">
        <f>VLOOKUP($B113,'Standards Crosswalk'!$A:$H,8,FALSE)</f>
        <v>AC-2, AC-6, IA-4, PM-2, PM-10, SI-5, MA-2</v>
      </c>
      <c r="S113" s="180" t="str">
        <f>VLOOKUP($B113,'Standards Crosswalk'!$A:$I,9,FALSE)</f>
        <v/>
      </c>
      <c r="T113" s="164"/>
      <c r="U113" s="164"/>
      <c r="V113" s="164"/>
      <c r="W113" s="164"/>
      <c r="X113" s="164"/>
      <c r="Y113" s="164"/>
      <c r="Z113" s="164"/>
    </row>
    <row r="114" ht="13.5" customHeight="1">
      <c r="A114" s="164">
        <f t="shared" si="3"/>
        <v>112</v>
      </c>
      <c r="B114" s="171" t="s">
        <v>569</v>
      </c>
      <c r="C114" s="164" t="str">
        <f>VLOOKUP(B114,HECVAT!A:E,2,FALSE)</f>
        <v>Do procedures exist to ensure that retention and destruction of data meets established business and regulatory requirements?</v>
      </c>
      <c r="D114" s="212" t="str">
        <f>VLOOKUP(B114,HECVAT!A:E,4,FALSE)</f>
        <v>GDPR compliant</v>
      </c>
      <c r="E114" s="174" t="b">
        <f>IF(Questions!$K114&gt;20,TRUE,FALSE)</f>
        <v>0</v>
      </c>
      <c r="F114" s="174" t="s">
        <v>2743</v>
      </c>
      <c r="G114" s="171" t="s">
        <v>92</v>
      </c>
      <c r="H114" s="176">
        <v>1.0</v>
      </c>
      <c r="I114" s="164" t="str">
        <f>VLOOKUP(B114,HECVAT!A:E,3,FALSE)</f>
        <v>Yes</v>
      </c>
      <c r="J114" s="164">
        <f>IF(Questions!$G114=Questions!$I114,1,0)</f>
        <v>1</v>
      </c>
      <c r="K114" s="164">
        <f>IF(Questions!$H114=1,20,"")</f>
        <v>20</v>
      </c>
      <c r="L114" s="164">
        <f>IF(Questions!$H114=1,J114*K114,"")</f>
        <v>20</v>
      </c>
      <c r="M114" s="180" t="str">
        <f>VLOOKUP($B114,'Standards Crosswalk'!$A:$H,3,FALSE)</f>
        <v>CSC 13</v>
      </c>
      <c r="N114" s="180" t="str">
        <f>VLOOKUP($B114,'Standards Crosswalk'!$A:$H,4,FALSE)</f>
        <v/>
      </c>
      <c r="O114" s="180" t="str">
        <f>VLOOKUP($B114,'Standards Crosswalk'!$A:$H,5,FALSE)</f>
        <v>8.3.1, 18.1.1</v>
      </c>
      <c r="P114" s="180" t="str">
        <f>VLOOKUP($B114,'Standards Crosswalk'!$A:$H,6,FALSE)</f>
        <v>PR.DS-3, ID.GV-3</v>
      </c>
      <c r="Q114" s="180" t="str">
        <f>VLOOKUP($B114,'Standards Crosswalk'!$A:$H,7,FALSE)</f>
        <v>3.7.3, 3.8.3,</v>
      </c>
      <c r="R114" s="180" t="str">
        <f>VLOOKUP($B114,'Standards Crosswalk'!$A:$H,8,FALSE)</f>
        <v>SI-12, AC-2, AC-6, IA-4, PM-2, PM-10, SI-5, MA-2</v>
      </c>
      <c r="S114" s="180" t="str">
        <f>VLOOKUP($B114,'Standards Crosswalk'!$A:$I,9,FALSE)</f>
        <v/>
      </c>
      <c r="T114" s="164"/>
      <c r="U114" s="164"/>
      <c r="V114" s="164"/>
      <c r="W114" s="164"/>
      <c r="X114" s="164"/>
      <c r="Y114" s="164"/>
      <c r="Z114" s="164"/>
    </row>
    <row r="115" ht="13.5" customHeight="1">
      <c r="A115" s="164">
        <f t="shared" si="3"/>
        <v>113</v>
      </c>
      <c r="B115" s="171" t="s">
        <v>574</v>
      </c>
      <c r="C115" s="164" t="str">
        <f>VLOOKUP(B115,HECVAT!A:E,2,FALSE)</f>
        <v>Is media used for long-term retention of business data and archival purposes stored in a secure, environmentally protected area?</v>
      </c>
      <c r="D115" s="212" t="str">
        <f>VLOOKUP(B115,HECVAT!A:E,4,FALSE)</f>
        <v/>
      </c>
      <c r="E115" s="174" t="b">
        <f>IF(Questions!$K115&gt;20,TRUE,FALSE)</f>
        <v>0</v>
      </c>
      <c r="F115" s="174" t="s">
        <v>2743</v>
      </c>
      <c r="G115" s="171" t="s">
        <v>92</v>
      </c>
      <c r="H115" s="176">
        <v>1.0</v>
      </c>
      <c r="I115" s="164" t="str">
        <f>VLOOKUP(B115,HECVAT!A:E,3,FALSE)</f>
        <v>Yes</v>
      </c>
      <c r="J115" s="164">
        <f>IF(Questions!$G115=Questions!$I115,1,0)</f>
        <v>1</v>
      </c>
      <c r="K115" s="164">
        <f>IF(Questions!$H115=1,20,"")</f>
        <v>20</v>
      </c>
      <c r="L115" s="164">
        <f>IF(Questions!$H115=1,J115*K115,"")</f>
        <v>20</v>
      </c>
      <c r="M115" s="180" t="str">
        <f>VLOOKUP($B115,'Standards Crosswalk'!$A:$H,3,FALSE)</f>
        <v>CSC 13</v>
      </c>
      <c r="N115" s="180" t="str">
        <f>VLOOKUP($B115,'Standards Crosswalk'!$A:$H,4,FALSE)</f>
        <v/>
      </c>
      <c r="O115" s="180" t="str">
        <f>VLOOKUP($B115,'Standards Crosswalk'!$A:$H,5,FALSE)</f>
        <v>8.3.1, 18.1.1</v>
      </c>
      <c r="P115" s="180" t="str">
        <f>VLOOKUP($B115,'Standards Crosswalk'!$A:$H,6,FALSE)</f>
        <v>PR.DS-3</v>
      </c>
      <c r="Q115" s="180" t="str">
        <f>VLOOKUP($B115,'Standards Crosswalk'!$A:$H,7,FALSE)</f>
        <v>3.8.1, 3.8.2</v>
      </c>
      <c r="R115" s="180" t="str">
        <f>VLOOKUP($B115,'Standards Crosswalk'!$A:$H,8,FALSE)</f>
        <v>AC-2, AC-6, IA-4, PM-2, PM-10, SI-5</v>
      </c>
      <c r="S115" s="180" t="str">
        <f>VLOOKUP($B115,'Standards Crosswalk'!$A:$I,9,FALSE)</f>
        <v>12.8, 9.x</v>
      </c>
      <c r="T115" s="164"/>
      <c r="U115" s="164"/>
      <c r="V115" s="164"/>
      <c r="W115" s="164"/>
      <c r="X115" s="164"/>
      <c r="Y115" s="164"/>
      <c r="Z115" s="164"/>
    </row>
    <row r="116" ht="13.5" customHeight="1">
      <c r="A116" s="164">
        <f t="shared" si="3"/>
        <v>114</v>
      </c>
      <c r="B116" s="171" t="s">
        <v>579</v>
      </c>
      <c r="C116" s="164" t="str">
        <f>VLOOKUP(B116,HECVAT!A:E,2,FALSE)</f>
        <v>Will you handle data in a FERPA compliant manner?</v>
      </c>
      <c r="D116" s="212" t="str">
        <f>VLOOKUP(B116,HECVAT!A:E,4,FALSE)</f>
        <v/>
      </c>
      <c r="E116" s="174" t="b">
        <f>IF(Questions!$K116&gt;20,TRUE,FALSE)</f>
        <v>0</v>
      </c>
      <c r="F116" s="174" t="s">
        <v>2743</v>
      </c>
      <c r="G116" s="171" t="s">
        <v>92</v>
      </c>
      <c r="H116" s="176">
        <v>1.0</v>
      </c>
      <c r="I116" s="164" t="str">
        <f>VLOOKUP(B116,HECVAT!A:E,3,FALSE)</f>
        <v>Yes</v>
      </c>
      <c r="J116" s="164">
        <f>IF(Questions!$G116=Questions!$I116,1,0)</f>
        <v>1</v>
      </c>
      <c r="K116" s="164">
        <f>IF(Questions!$H116=1,20,"")</f>
        <v>20</v>
      </c>
      <c r="L116" s="164">
        <f>IF(Questions!$H116=1,J116*K116,"")</f>
        <v>20</v>
      </c>
      <c r="M116" s="180" t="str">
        <f>VLOOKUP($B116,'Standards Crosswalk'!$A:$H,3,FALSE)</f>
        <v>CSC 13</v>
      </c>
      <c r="N116" s="180" t="str">
        <f>VLOOKUP($B116,'Standards Crosswalk'!$A:$H,4,FALSE)</f>
        <v/>
      </c>
      <c r="O116" s="180" t="str">
        <f>VLOOKUP($B116,'Standards Crosswalk'!$A:$H,5,FALSE)</f>
        <v>18.1.1</v>
      </c>
      <c r="P116" s="180" t="str">
        <f>VLOOKUP($B116,'Standards Crosswalk'!$A:$H,6,FALSE)</f>
        <v>ID.GV-3</v>
      </c>
      <c r="Q116" s="180" t="str">
        <f>VLOOKUP($B116,'Standards Crosswalk'!$A:$H,7,FALSE)</f>
        <v/>
      </c>
      <c r="R116" s="180" t="str">
        <f>VLOOKUP($B116,'Standards Crosswalk'!$A:$H,8,FALSE)</f>
        <v/>
      </c>
      <c r="S116" s="180" t="str">
        <f>VLOOKUP($B116,'Standards Crosswalk'!$A:$I,9,FALSE)</f>
        <v/>
      </c>
      <c r="T116" s="164"/>
      <c r="U116" s="164"/>
      <c r="V116" s="164"/>
      <c r="W116" s="164"/>
      <c r="X116" s="164"/>
      <c r="Y116" s="164"/>
      <c r="Z116" s="164"/>
    </row>
    <row r="117" ht="13.5" customHeight="1">
      <c r="A117" s="164">
        <f t="shared" si="3"/>
        <v>115</v>
      </c>
      <c r="B117" s="171" t="s">
        <v>581</v>
      </c>
      <c r="C117" s="164" t="str">
        <f>VLOOKUP(B117,HECVAT!A:E,2,FALSE)</f>
        <v>Is any institution data visible in system administration modules/tools?</v>
      </c>
      <c r="D117" s="212" t="str">
        <f>VLOOKUP(B117,HECVAT!A:E,4,FALSE)</f>
        <v/>
      </c>
      <c r="E117" s="174" t="b">
        <f>IF(Questions!$K117&gt;20,TRUE,FALSE)</f>
        <v>1</v>
      </c>
      <c r="F117" s="174" t="s">
        <v>2743</v>
      </c>
      <c r="G117" s="171" t="s">
        <v>92</v>
      </c>
      <c r="H117" s="176">
        <v>1.0</v>
      </c>
      <c r="I117" s="164" t="str">
        <f>VLOOKUP(B117,HECVAT!A:E,3,FALSE)</f>
        <v>Yes</v>
      </c>
      <c r="J117" s="164">
        <f>IF(Questions!$G117=Questions!$I117,1,0)</f>
        <v>1</v>
      </c>
      <c r="K117" s="164">
        <f>IF(Questions!$H117=1,25,"")</f>
        <v>25</v>
      </c>
      <c r="L117" s="164">
        <f>IF(Questions!$H117=1,J117*K117,"")</f>
        <v>25</v>
      </c>
      <c r="M117" s="180" t="str">
        <f>VLOOKUP($B117,'Standards Crosswalk'!$A:$H,3,FALSE)</f>
        <v>CSC 13, CSC 14</v>
      </c>
      <c r="N117" s="180" t="str">
        <f>VLOOKUP($B117,'Standards Crosswalk'!$A:$H,4,FALSE)</f>
        <v/>
      </c>
      <c r="O117" s="180" t="str">
        <f>VLOOKUP($B117,'Standards Crosswalk'!$A:$H,5,FALSE)</f>
        <v>14.2.5</v>
      </c>
      <c r="P117" s="180" t="str">
        <f>VLOOKUP($B117,'Standards Crosswalk'!$A:$H,6,FALSE)</f>
        <v>PR.AC-4</v>
      </c>
      <c r="Q117" s="180" t="str">
        <f>VLOOKUP($B117,'Standards Crosswalk'!$A:$H,7,FALSE)</f>
        <v/>
      </c>
      <c r="R117" s="180" t="str">
        <f>VLOOKUP($B117,'Standards Crosswalk'!$A:$H,8,FALSE)</f>
        <v/>
      </c>
      <c r="S117" s="180" t="str">
        <f>VLOOKUP($B117,'Standards Crosswalk'!$A:$I,9,FALSE)</f>
        <v/>
      </c>
      <c r="T117" s="164"/>
      <c r="U117" s="164"/>
      <c r="V117" s="164"/>
      <c r="W117" s="164"/>
      <c r="X117" s="164"/>
      <c r="Y117" s="164"/>
      <c r="Z117" s="164"/>
    </row>
    <row r="118" ht="13.5" customHeight="1">
      <c r="A118" s="164">
        <f t="shared" si="3"/>
        <v>116</v>
      </c>
      <c r="B118" s="171" t="s">
        <v>590</v>
      </c>
      <c r="C118" s="164" t="str">
        <f>VLOOKUP(B118,HECVAT!A:E,2,FALSE)</f>
        <v>Does the database support encryption of specified data elements in storage?</v>
      </c>
      <c r="D118" s="212" t="str">
        <f>VLOOKUP(B118,HECVAT!A:E,4,FALSE)</f>
        <v>Encryption is at rest; https://cloud.google.com/security/encryption-at-rest/</v>
      </c>
      <c r="E118" s="174" t="b">
        <f>IF(Questions!$K118&gt;20,TRUE,FALSE)</f>
        <v>1</v>
      </c>
      <c r="F118" s="174" t="s">
        <v>2744</v>
      </c>
      <c r="G118" s="171" t="s">
        <v>92</v>
      </c>
      <c r="H118" s="176">
        <v>1.0</v>
      </c>
      <c r="I118" s="164" t="str">
        <f>VLOOKUP(B118,HECVAT!A:E,3,FALSE)</f>
        <v>Yes</v>
      </c>
      <c r="J118" s="164">
        <f>IF(Questions!$G118=Questions!$I118,1,0)</f>
        <v>1</v>
      </c>
      <c r="K118" s="164">
        <f>IF(Questions!$H118=1,25,"")</f>
        <v>25</v>
      </c>
      <c r="L118" s="164">
        <f>IF(Questions!$H118=1,J118*K118,"")</f>
        <v>25</v>
      </c>
      <c r="M118" s="180" t="str">
        <f>VLOOKUP($B118,'Standards Crosswalk'!$A:$H,3,FALSE)</f>
        <v>CSC 13</v>
      </c>
      <c r="N118" s="180" t="str">
        <f>VLOOKUP($B118,'Standards Crosswalk'!$A:$H,4,FALSE)</f>
        <v/>
      </c>
      <c r="O118" s="180" t="str">
        <f>VLOOKUP($B118,'Standards Crosswalk'!$A:$H,5,FALSE)</f>
        <v>10.1.1</v>
      </c>
      <c r="P118" s="180" t="str">
        <f>VLOOKUP($B118,'Standards Crosswalk'!$A:$H,6,FALSE)</f>
        <v>PR.DS-1</v>
      </c>
      <c r="Q118" s="180" t="str">
        <f>VLOOKUP($B118,'Standards Crosswalk'!$A:$H,7,FALSE)</f>
        <v/>
      </c>
      <c r="R118" s="180" t="str">
        <f>VLOOKUP($B118,'Standards Crosswalk'!$A:$H,8,FALSE)</f>
        <v/>
      </c>
      <c r="S118" s="180" t="str">
        <f>VLOOKUP($B118,'Standards Crosswalk'!$A:$I,9,FALSE)</f>
        <v/>
      </c>
      <c r="T118" s="164"/>
      <c r="U118" s="164"/>
      <c r="V118" s="164"/>
      <c r="W118" s="164"/>
      <c r="X118" s="164"/>
      <c r="Y118" s="164"/>
      <c r="Z118" s="164"/>
    </row>
    <row r="119" ht="13.5" customHeight="1">
      <c r="A119" s="164">
        <f t="shared" si="3"/>
        <v>117</v>
      </c>
      <c r="B119" s="171" t="s">
        <v>592</v>
      </c>
      <c r="C119" s="164" t="str">
        <f>VLOOKUP(B119,HECVAT!A:E,2,FALSE)</f>
        <v>Do you currently use encryption in your database(s)?</v>
      </c>
      <c r="D119" s="212" t="str">
        <f>VLOOKUP(B119,HECVAT!A:E,4,FALSE)</f>
        <v>Encryption is at rest; https://cloud.google.com/security/encryption-at-rest/</v>
      </c>
      <c r="E119" s="174" t="b">
        <f>IF(Questions!$K119&gt;20,TRUE,FALSE)</f>
        <v>1</v>
      </c>
      <c r="F119" s="174" t="s">
        <v>2744</v>
      </c>
      <c r="G119" s="171" t="s">
        <v>92</v>
      </c>
      <c r="H119" s="176">
        <v>1.0</v>
      </c>
      <c r="I119" s="164" t="str">
        <f>VLOOKUP(B119,HECVAT!A:E,3,FALSE)</f>
        <v>Yes</v>
      </c>
      <c r="J119" s="164">
        <f>IF(Questions!$G119=Questions!$I119,1,0)</f>
        <v>1</v>
      </c>
      <c r="K119" s="164">
        <f>IF(Questions!$H119=1,25,"")</f>
        <v>25</v>
      </c>
      <c r="L119" s="164">
        <f>IF(Questions!$H119=1,J119*K119,"")</f>
        <v>25</v>
      </c>
      <c r="M119" s="180" t="str">
        <f>VLOOKUP($B119,'Standards Crosswalk'!$A:$H,3,FALSE)</f>
        <v>CSC 13</v>
      </c>
      <c r="N119" s="180" t="str">
        <f>VLOOKUP($B119,'Standards Crosswalk'!$A:$H,4,FALSE)</f>
        <v/>
      </c>
      <c r="O119" s="180" t="str">
        <f>VLOOKUP($B119,'Standards Crosswalk'!$A:$H,5,FALSE)</f>
        <v>10.1.1</v>
      </c>
      <c r="P119" s="180" t="str">
        <f>VLOOKUP($B119,'Standards Crosswalk'!$A:$H,6,FALSE)</f>
        <v>PR.DS-1, PR.DS-2</v>
      </c>
      <c r="Q119" s="180" t="str">
        <f>VLOOKUP($B119,'Standards Crosswalk'!$A:$H,7,FALSE)</f>
        <v/>
      </c>
      <c r="R119" s="180" t="str">
        <f>VLOOKUP($B119,'Standards Crosswalk'!$A:$H,8,FALSE)</f>
        <v/>
      </c>
      <c r="S119" s="180" t="str">
        <f>VLOOKUP($B119,'Standards Crosswalk'!$A:$I,9,FALSE)</f>
        <v/>
      </c>
      <c r="T119" s="164"/>
      <c r="U119" s="164"/>
      <c r="V119" s="164"/>
      <c r="W119" s="164"/>
      <c r="X119" s="164"/>
      <c r="Y119" s="164"/>
      <c r="Z119" s="164"/>
    </row>
    <row r="120" ht="13.5" customHeight="1">
      <c r="A120" s="164">
        <f t="shared" si="3"/>
        <v>118</v>
      </c>
      <c r="B120" s="171" t="s">
        <v>597</v>
      </c>
      <c r="C120" s="164" t="str">
        <f>VLOOKUP(B120,HECVAT!A:E,2,FALSE)</f>
        <v>Does your company own the physical data center where the Institution's data will reside?</v>
      </c>
      <c r="D120" s="212" t="str">
        <f>VLOOKUP(B120,HECVAT!A:E,4,FALSE)</f>
        <v/>
      </c>
      <c r="E120" s="174" t="b">
        <f>IF(Questions!$K120&gt;20,TRUE,FALSE)</f>
        <v>0</v>
      </c>
      <c r="F120" s="174" t="s">
        <v>2745</v>
      </c>
      <c r="G120" s="171" t="s">
        <v>92</v>
      </c>
      <c r="H120" s="176">
        <v>1.0</v>
      </c>
      <c r="I120" s="164" t="str">
        <f>VLOOKUP(B120,HECVAT!A:E,3,FALSE)</f>
        <v>No</v>
      </c>
      <c r="J120" s="164">
        <f>IF(Questions!$G120=Questions!$I120,1,0)</f>
        <v>0</v>
      </c>
      <c r="K120" s="164">
        <f>IF(Questions!$H120=1,15,"")</f>
        <v>15</v>
      </c>
      <c r="L120" s="164">
        <f>IF(Questions!$H120=1,J120*K120,"")</f>
        <v>0</v>
      </c>
      <c r="M120" s="180" t="str">
        <f>VLOOKUP($B120,'Standards Crosswalk'!$A:$H,3,FALSE)</f>
        <v>CSC 14</v>
      </c>
      <c r="N120" s="180" t="str">
        <f>VLOOKUP($B120,'Standards Crosswalk'!$A:$H,4,FALSE)</f>
        <v/>
      </c>
      <c r="O120" s="180" t="str">
        <f>VLOOKUP($B120,'Standards Crosswalk'!$A:$H,5,FALSE)</f>
        <v>11.1.1</v>
      </c>
      <c r="P120" s="180" t="str">
        <f>VLOOKUP($B120,'Standards Crosswalk'!$A:$H,6,FALSE)</f>
        <v>PR.AC-2, PR.IP-5</v>
      </c>
      <c r="Q120" s="180" t="str">
        <f>VLOOKUP($B120,'Standards Crosswalk'!$A:$H,7,FALSE)</f>
        <v/>
      </c>
      <c r="R120" s="180" t="str">
        <f>VLOOKUP($B120,'Standards Crosswalk'!$A:$H,8,FALSE)</f>
        <v/>
      </c>
      <c r="S120" s="180" t="str">
        <f>VLOOKUP($B120,'Standards Crosswalk'!$A:$I,9,FALSE)</f>
        <v>12.8, 9.x</v>
      </c>
      <c r="T120" s="164"/>
      <c r="U120" s="164"/>
      <c r="V120" s="164"/>
      <c r="W120" s="164"/>
      <c r="X120" s="164"/>
      <c r="Y120" s="164"/>
      <c r="Z120" s="164"/>
    </row>
    <row r="121" ht="13.5" customHeight="1">
      <c r="A121" s="164">
        <f t="shared" si="3"/>
        <v>119</v>
      </c>
      <c r="B121" s="171" t="s">
        <v>600</v>
      </c>
      <c r="C121" s="164" t="str">
        <f>VLOOKUP(B121,HECVAT!A:E,2,FALSE)</f>
        <v>Does the hosting provider have a SOC 2 Type 2 report available?</v>
      </c>
      <c r="D121" s="226" t="str">
        <f>VLOOKUP(B121,HECVAT!A:E,4,FALSE)</f>
        <v>https://cloud.google.com/security/compliance/soc-2/</v>
      </c>
      <c r="E121" s="174" t="b">
        <f>IF(Questions!$K121&gt;20,TRUE,FALSE)</f>
        <v>0</v>
      </c>
      <c r="F121" s="174" t="s">
        <v>2745</v>
      </c>
      <c r="G121" s="171" t="s">
        <v>92</v>
      </c>
      <c r="H121" s="176">
        <v>1.0</v>
      </c>
      <c r="I121" s="164" t="str">
        <f>VLOOKUP(B121,HECVAT!A:E,3,FALSE)</f>
        <v>Yes</v>
      </c>
      <c r="J121" s="164">
        <f>IF(Questions!$G121=Questions!$I121,1,0)</f>
        <v>1</v>
      </c>
      <c r="K121" s="164">
        <f>IF(Questions!$H121=1,15,"")</f>
        <v>15</v>
      </c>
      <c r="L121" s="164">
        <f>IF(Questions!$H121=1,J121*K121,"")</f>
        <v>15</v>
      </c>
      <c r="M121" s="180" t="str">
        <f>VLOOKUP($B121,'Standards Crosswalk'!$A:$H,3,FALSE)</f>
        <v>CSC 13</v>
      </c>
      <c r="N121" s="180" t="str">
        <f>VLOOKUP($B121,'Standards Crosswalk'!$A:$H,4,FALSE)</f>
        <v/>
      </c>
      <c r="O121" s="180" t="str">
        <f>VLOOKUP($B121,'Standards Crosswalk'!$A:$H,5,FALSE)</f>
        <v>11.1.1</v>
      </c>
      <c r="P121" s="180" t="str">
        <f>VLOOKUP($B121,'Standards Crosswalk'!$A:$H,6,FALSE)</f>
        <v/>
      </c>
      <c r="Q121" s="180" t="str">
        <f>VLOOKUP($B121,'Standards Crosswalk'!$A:$H,7,FALSE)</f>
        <v/>
      </c>
      <c r="R121" s="180" t="str">
        <f>VLOOKUP($B121,'Standards Crosswalk'!$A:$H,8,FALSE)</f>
        <v/>
      </c>
      <c r="S121" s="180" t="str">
        <f>VLOOKUP($B121,'Standards Crosswalk'!$A:$I,9,FALSE)</f>
        <v/>
      </c>
      <c r="T121" s="164"/>
      <c r="U121" s="164"/>
      <c r="V121" s="164"/>
      <c r="W121" s="164"/>
      <c r="X121" s="164"/>
      <c r="Y121" s="164"/>
      <c r="Z121" s="164"/>
    </row>
    <row r="122" ht="13.5" customHeight="1">
      <c r="A122" s="164">
        <f t="shared" si="3"/>
        <v>120</v>
      </c>
      <c r="B122" s="171" t="s">
        <v>602</v>
      </c>
      <c r="C122" s="164" t="str">
        <f>VLOOKUP(B122,HECVAT!A:E,2,FALSE)</f>
        <v>Are the data centers staffed 24 hours a day, seven days a week (i.e 24x7x365)?</v>
      </c>
      <c r="D122" s="226" t="str">
        <f>VLOOKUP(B122,HECVAT!A:E,4,FALSE)</f>
        <v>https://cloud.google.com/security</v>
      </c>
      <c r="E122" s="174" t="b">
        <f>IF(Questions!$K122&gt;20,TRUE,FALSE)</f>
        <v>0</v>
      </c>
      <c r="F122" s="174" t="s">
        <v>2745</v>
      </c>
      <c r="G122" s="171" t="s">
        <v>92</v>
      </c>
      <c r="H122" s="176">
        <v>1.0</v>
      </c>
      <c r="I122" s="164" t="str">
        <f>VLOOKUP(B122,HECVAT!A:E,3,FALSE)</f>
        <v>Yes</v>
      </c>
      <c r="J122" s="164">
        <f>IF(Questions!$G122=Questions!$I122,1,0)</f>
        <v>1</v>
      </c>
      <c r="K122" s="164">
        <f>IF(Questions!$H122=1,15,"")</f>
        <v>15</v>
      </c>
      <c r="L122" s="164">
        <f>IF(Questions!$H122=1,J122*K122,"")</f>
        <v>15</v>
      </c>
      <c r="M122" s="180" t="str">
        <f>VLOOKUP($B122,'Standards Crosswalk'!$A:$H,3,FALSE)</f>
        <v>CSC 3</v>
      </c>
      <c r="N122" s="180" t="str">
        <f>VLOOKUP($B122,'Standards Crosswalk'!$A:$H,4,FALSE)</f>
        <v/>
      </c>
      <c r="O122" s="180" t="str">
        <f>VLOOKUP($B122,'Standards Crosswalk'!$A:$H,5,FALSE)</f>
        <v>17.2.1</v>
      </c>
      <c r="P122" s="180" t="str">
        <f>VLOOKUP($B122,'Standards Crosswalk'!$A:$H,6,FALSE)</f>
        <v/>
      </c>
      <c r="Q122" s="180" t="str">
        <f>VLOOKUP($B122,'Standards Crosswalk'!$A:$H,7,FALSE)</f>
        <v/>
      </c>
      <c r="R122" s="180" t="str">
        <f>VLOOKUP($B122,'Standards Crosswalk'!$A:$H,8,FALSE)</f>
        <v/>
      </c>
      <c r="S122" s="180" t="str">
        <f>VLOOKUP($B122,'Standards Crosswalk'!$A:$I,9,FALSE)</f>
        <v/>
      </c>
      <c r="T122" s="164"/>
      <c r="U122" s="164"/>
      <c r="V122" s="164"/>
      <c r="W122" s="164"/>
      <c r="X122" s="164"/>
      <c r="Y122" s="164"/>
      <c r="Z122" s="164"/>
    </row>
    <row r="123" ht="13.5" customHeight="1">
      <c r="A123" s="164">
        <f t="shared" si="3"/>
        <v>121</v>
      </c>
      <c r="B123" s="171" t="s">
        <v>605</v>
      </c>
      <c r="C123" s="164" t="str">
        <f>VLOOKUP(B123,HECVAT!A:E,2,FALSE)</f>
        <v>Do any of your servers reside in a co-located data center?</v>
      </c>
      <c r="D123" s="212" t="str">
        <f>VLOOKUP(B123,HECVAT!A:E,4,FALSE)</f>
        <v>Google Cloud</v>
      </c>
      <c r="E123" s="174" t="b">
        <f>IF(Questions!$K123&gt;20,TRUE,FALSE)</f>
        <v>1</v>
      </c>
      <c r="F123" s="174" t="s">
        <v>2745</v>
      </c>
      <c r="G123" s="171" t="s">
        <v>85</v>
      </c>
      <c r="H123" s="176">
        <v>1.0</v>
      </c>
      <c r="I123" s="164" t="str">
        <f>VLOOKUP(B123,HECVAT!A:E,3,FALSE)</f>
        <v>Yes</v>
      </c>
      <c r="J123" s="164">
        <f>IF(Questions!$G123=Questions!$I123,1,0)</f>
        <v>0</v>
      </c>
      <c r="K123" s="164">
        <v>25.0</v>
      </c>
      <c r="L123" s="164">
        <f>IF(Questions!$H123=1,J123*K123,"")</f>
        <v>0</v>
      </c>
      <c r="M123" s="180" t="str">
        <f>VLOOKUP($B123,'Standards Crosswalk'!$A:$H,3,FALSE)</f>
        <v>CSC 3, CSC 14</v>
      </c>
      <c r="N123" s="180" t="str">
        <f>VLOOKUP($B123,'Standards Crosswalk'!$A:$H,4,FALSE)</f>
        <v/>
      </c>
      <c r="O123" s="180" t="str">
        <f>VLOOKUP($B123,'Standards Crosswalk'!$A:$H,5,FALSE)</f>
        <v/>
      </c>
      <c r="P123" s="180" t="str">
        <f>VLOOKUP($B123,'Standards Crosswalk'!$A:$H,6,FALSE)</f>
        <v/>
      </c>
      <c r="Q123" s="180" t="str">
        <f>VLOOKUP($B123,'Standards Crosswalk'!$A:$H,7,FALSE)</f>
        <v/>
      </c>
      <c r="R123" s="180" t="str">
        <f>VLOOKUP($B123,'Standards Crosswalk'!$A:$H,8,FALSE)</f>
        <v>AC-4</v>
      </c>
      <c r="S123" s="180">
        <f>VLOOKUP($B123,'Standards Crosswalk'!$A:$I,9,FALSE)</f>
        <v>12.8</v>
      </c>
      <c r="T123" s="164"/>
      <c r="U123" s="164"/>
      <c r="V123" s="164"/>
      <c r="W123" s="164"/>
      <c r="X123" s="164"/>
      <c r="Y123" s="164"/>
      <c r="Z123" s="164"/>
    </row>
    <row r="124" ht="13.5" customHeight="1">
      <c r="A124" s="164">
        <f t="shared" si="3"/>
        <v>122</v>
      </c>
      <c r="B124" s="171" t="str">
        <f>IF(I123="Yes","DCTR-05","")</f>
        <v>DCTR-05</v>
      </c>
      <c r="C124" s="164" t="str">
        <f>VLOOKUP(B124,HECVAT!A:E,2,FALSE)</f>
        <v>Are your servers separated from other companies via a physical barrier, such as a cage or hardened walls?</v>
      </c>
      <c r="D124" s="212" t="str">
        <f>VLOOKUP(B124,HECVAT!A:E,4,FALSE)</f>
        <v/>
      </c>
      <c r="E124" s="174" t="b">
        <f>IF(Questions!$K124&gt;20,TRUE,FALSE)</f>
        <v>0</v>
      </c>
      <c r="F124" s="174" t="s">
        <v>2745</v>
      </c>
      <c r="G124" s="171" t="s">
        <v>92</v>
      </c>
      <c r="H124" s="176">
        <f>IF(I123="Yes",1,0)</f>
        <v>1</v>
      </c>
      <c r="I124" s="164" t="str">
        <f>VLOOKUP(B124,HECVAT!A:E,3,FALSE)</f>
        <v>No</v>
      </c>
      <c r="J124" s="164">
        <f>IF(Questions!$G124=Questions!$I124,1,0)</f>
        <v>0</v>
      </c>
      <c r="K124" s="164">
        <f>IF(Questions!$H124=1,20,"")</f>
        <v>20</v>
      </c>
      <c r="L124" s="164">
        <f>IF(Questions!$H124=1,J124*K124,"")</f>
        <v>0</v>
      </c>
      <c r="M124" s="180" t="str">
        <f>VLOOKUP($B124,'Standards Crosswalk'!$A:$H,3,FALSE)</f>
        <v>CSC 3, CSC 14</v>
      </c>
      <c r="N124" s="180" t="str">
        <f>VLOOKUP($B124,'Standards Crosswalk'!$A:$H,4,FALSE)</f>
        <v/>
      </c>
      <c r="O124" s="180" t="str">
        <f>VLOOKUP($B124,'Standards Crosswalk'!$A:$H,5,FALSE)</f>
        <v>13.1.2</v>
      </c>
      <c r="P124" s="180" t="str">
        <f>VLOOKUP($B124,'Standards Crosswalk'!$A:$H,6,FALSE)</f>
        <v>PR.AC-2</v>
      </c>
      <c r="Q124" s="180" t="str">
        <f>VLOOKUP($B124,'Standards Crosswalk'!$A:$H,7,FALSE)</f>
        <v/>
      </c>
      <c r="R124" s="180" t="str">
        <f>VLOOKUP($B124,'Standards Crosswalk'!$A:$H,8,FALSE)</f>
        <v/>
      </c>
      <c r="S124" s="180" t="str">
        <f>VLOOKUP($B124,'Standards Crosswalk'!$A:$I,9,FALSE)</f>
        <v>9.x</v>
      </c>
      <c r="T124" s="164"/>
      <c r="U124" s="164"/>
      <c r="V124" s="164"/>
      <c r="W124" s="164"/>
      <c r="X124" s="164"/>
      <c r="Y124" s="164"/>
      <c r="Z124" s="164"/>
    </row>
    <row r="125" ht="13.5" customHeight="1">
      <c r="A125" s="164">
        <f t="shared" si="3"/>
        <v>123</v>
      </c>
      <c r="B125" s="171" t="str">
        <f>IF(I123="Yes","DCTR-06","")</f>
        <v>DCTR-06</v>
      </c>
      <c r="C125" s="164" t="str">
        <f>VLOOKUP(B125,HECVAT!A:E,2,FALSE)</f>
        <v>Does a physical barrier fully enclose the physical space preventing unauthorized physical contact with any of your devices?</v>
      </c>
      <c r="D125" s="212" t="str">
        <f>VLOOKUP(B125,HECVAT!A:E,4,FALSE)</f>
        <v/>
      </c>
      <c r="E125" s="174" t="b">
        <f>IF(Questions!$K125&gt;20,TRUE,FALSE)</f>
        <v>0</v>
      </c>
      <c r="F125" s="174" t="s">
        <v>2745</v>
      </c>
      <c r="G125" s="171" t="s">
        <v>92</v>
      </c>
      <c r="H125" s="176">
        <f>IF(I123="Yes",1,0)</f>
        <v>1</v>
      </c>
      <c r="I125" s="164" t="str">
        <f>VLOOKUP(B125,HECVAT!A:E,3,FALSE)</f>
        <v/>
      </c>
      <c r="J125" s="164">
        <f>IF(Questions!$G125=Questions!$I125,1,0)</f>
        <v>0</v>
      </c>
      <c r="K125" s="164">
        <f>IF(Questions!$H125=1,20,"")</f>
        <v>20</v>
      </c>
      <c r="L125" s="164">
        <f>IF(Questions!$H125=1,J125*K125,"")</f>
        <v>0</v>
      </c>
      <c r="M125" s="180" t="str">
        <f>VLOOKUP($B125,'Standards Crosswalk'!$A:$H,3,FALSE)</f>
        <v>CSC 14</v>
      </c>
      <c r="N125" s="180" t="str">
        <f>VLOOKUP($B125,'Standards Crosswalk'!$A:$H,4,FALSE)</f>
        <v/>
      </c>
      <c r="O125" s="180" t="str">
        <f>VLOOKUP($B125,'Standards Crosswalk'!$A:$H,5,FALSE)</f>
        <v>11.1.1, 11.1.2</v>
      </c>
      <c r="P125" s="180" t="str">
        <f>VLOOKUP($B125,'Standards Crosswalk'!$A:$H,6,FALSE)</f>
        <v>PR.AC-2</v>
      </c>
      <c r="Q125" s="180" t="str">
        <f>VLOOKUP($B125,'Standards Crosswalk'!$A:$H,7,FALSE)</f>
        <v>3.8.1, 3.8.2</v>
      </c>
      <c r="R125" s="180" t="str">
        <f>VLOOKUP($B125,'Standards Crosswalk'!$A:$H,8,FALSE)</f>
        <v/>
      </c>
      <c r="S125" s="180" t="str">
        <f>VLOOKUP($B125,'Standards Crosswalk'!$A:$I,9,FALSE)</f>
        <v>9.x</v>
      </c>
      <c r="T125" s="164"/>
      <c r="U125" s="164"/>
      <c r="V125" s="164"/>
      <c r="W125" s="164"/>
      <c r="X125" s="164"/>
      <c r="Y125" s="164"/>
      <c r="Z125" s="164"/>
    </row>
    <row r="126" ht="13.5" customHeight="1">
      <c r="A126" s="164">
        <f t="shared" si="3"/>
        <v>124</v>
      </c>
      <c r="B126" s="171" t="s">
        <v>616</v>
      </c>
      <c r="C126" s="164" t="str">
        <f>VLOOKUP(B126,HECVAT!A:E,2,FALSE)</f>
        <v>Select the option that best describes the network segment that servers are connected to.</v>
      </c>
      <c r="D126" s="212" t="str">
        <f>VLOOKUP(B126,HECVAT!A:E,4,FALSE)</f>
        <v>Google Cloud</v>
      </c>
      <c r="E126" s="174" t="b">
        <f>IF(Questions!$K126&gt;20,TRUE,FALSE)</f>
        <v>0</v>
      </c>
      <c r="F126" s="174" t="s">
        <v>2745</v>
      </c>
      <c r="G126" s="171" t="s">
        <v>92</v>
      </c>
      <c r="H126" s="176">
        <v>1.0</v>
      </c>
      <c r="I126" s="164" t="str">
        <f>VLOOKUP(B126,HECVAT!A:E,3,FALSE)</f>
        <v>Other</v>
      </c>
      <c r="J126" s="164">
        <f>IF(VLOOKUP(Questions!$B126,'Analyst Report'!$A$38:$G$85,7,FALSE)="Yes",1,0)</f>
        <v>0</v>
      </c>
      <c r="K126" s="164">
        <f>IF(Questions!$H126=1,20,"")</f>
        <v>20</v>
      </c>
      <c r="L126" s="164">
        <f>IF(Questions!$H126=1,J126*K126,"")</f>
        <v>0</v>
      </c>
      <c r="M126" s="180" t="str">
        <f>VLOOKUP($B126,'Standards Crosswalk'!$A:$H,3,FALSE)</f>
        <v>CSC 9</v>
      </c>
      <c r="N126" s="180" t="str">
        <f>VLOOKUP($B126,'Standards Crosswalk'!$A:$H,4,FALSE)</f>
        <v/>
      </c>
      <c r="O126" s="180" t="str">
        <f>VLOOKUP($B126,'Standards Crosswalk'!$A:$H,5,FALSE)</f>
        <v/>
      </c>
      <c r="P126" s="180" t="str">
        <f>VLOOKUP($B126,'Standards Crosswalk'!$A:$H,6,FALSE)</f>
        <v>PR.AC-5</v>
      </c>
      <c r="Q126" s="180" t="str">
        <f>VLOOKUP($B126,'Standards Crosswalk'!$A:$H,7,FALSE)</f>
        <v>3.1.3</v>
      </c>
      <c r="R126" s="180" t="str">
        <f>VLOOKUP($B126,'Standards Crosswalk'!$A:$H,8,FALSE)</f>
        <v/>
      </c>
      <c r="S126" s="180" t="str">
        <f>VLOOKUP($B126,'Standards Crosswalk'!$A:$I,9,FALSE)</f>
        <v/>
      </c>
      <c r="T126" s="164"/>
      <c r="U126" s="164"/>
      <c r="V126" s="164"/>
      <c r="W126" s="164"/>
      <c r="X126" s="164"/>
      <c r="Y126" s="164"/>
      <c r="Z126" s="164"/>
    </row>
    <row r="127" ht="13.5" customHeight="1">
      <c r="A127" s="164">
        <f t="shared" si="3"/>
        <v>125</v>
      </c>
      <c r="B127" s="171" t="s">
        <v>621</v>
      </c>
      <c r="C127" s="164" t="str">
        <f>VLOOKUP(B127,HECVAT!A:E,2,FALSE)</f>
        <v>Does this data center operate outside of the Institution's Data Zone?</v>
      </c>
      <c r="D127" s="212" t="str">
        <f>VLOOKUP(B127,HECVAT!A:E,4,FALSE)</f>
        <v/>
      </c>
      <c r="E127" s="174" t="b">
        <f>IF(Questions!$K127&gt;20,TRUE,FALSE)</f>
        <v>0</v>
      </c>
      <c r="F127" s="174" t="s">
        <v>2745</v>
      </c>
      <c r="G127" s="171" t="s">
        <v>85</v>
      </c>
      <c r="H127" s="176">
        <v>1.0</v>
      </c>
      <c r="I127" s="164" t="str">
        <f>VLOOKUP(B127,HECVAT!A:E,3,FALSE)</f>
        <v>No</v>
      </c>
      <c r="J127" s="164">
        <f>IF(Questions!$G127=Questions!$I127,1,0)</f>
        <v>1</v>
      </c>
      <c r="K127" s="164">
        <f>IF(Questions!$H127=1,20,"")</f>
        <v>20</v>
      </c>
      <c r="L127" s="164">
        <f>IF(Questions!$H127=1,J127*K127,"")</f>
        <v>20</v>
      </c>
      <c r="M127" s="180" t="str">
        <f>VLOOKUP($B127,'Standards Crosswalk'!$A:$H,3,FALSE)</f>
        <v>CSC 12</v>
      </c>
      <c r="N127" s="180" t="str">
        <f>VLOOKUP($B127,'Standards Crosswalk'!$A:$H,4,FALSE)</f>
        <v/>
      </c>
      <c r="O127" s="180" t="str">
        <f>VLOOKUP($B127,'Standards Crosswalk'!$A:$H,5,FALSE)</f>
        <v>18.1.1</v>
      </c>
      <c r="P127" s="180" t="str">
        <f>VLOOKUP($B127,'Standards Crosswalk'!$A:$H,6,FALSE)</f>
        <v/>
      </c>
      <c r="Q127" s="180" t="str">
        <f>VLOOKUP($B127,'Standards Crosswalk'!$A:$H,7,FALSE)</f>
        <v/>
      </c>
      <c r="R127" s="180" t="str">
        <f>VLOOKUP($B127,'Standards Crosswalk'!$A:$H,8,FALSE)</f>
        <v/>
      </c>
      <c r="S127" s="180">
        <f>VLOOKUP($B127,'Standards Crosswalk'!$A:$I,9,FALSE)</f>
        <v>12.8</v>
      </c>
      <c r="T127" s="164"/>
      <c r="U127" s="164"/>
      <c r="V127" s="164"/>
      <c r="W127" s="164"/>
      <c r="X127" s="164"/>
      <c r="Y127" s="164"/>
      <c r="Z127" s="164"/>
    </row>
    <row r="128" ht="13.5" customHeight="1">
      <c r="A128" s="164">
        <f t="shared" si="3"/>
        <v>126</v>
      </c>
      <c r="B128" s="171" t="s">
        <v>624</v>
      </c>
      <c r="C128" s="164" t="str">
        <f>VLOOKUP(B128,HECVAT!A:E,2,FALSE)</f>
        <v>Will any institution data leave the Institution's Data Zone?</v>
      </c>
      <c r="D128" s="212" t="str">
        <f>VLOOKUP(B128,HECVAT!A:E,4,FALSE)</f>
        <v/>
      </c>
      <c r="E128" s="174" t="b">
        <f>IF(Questions!$K128&gt;20,TRUE,FALSE)</f>
        <v>1</v>
      </c>
      <c r="F128" s="174" t="s">
        <v>2745</v>
      </c>
      <c r="G128" s="171" t="s">
        <v>85</v>
      </c>
      <c r="H128" s="176">
        <v>1.0</v>
      </c>
      <c r="I128" s="164" t="str">
        <f>VLOOKUP(B128,HECVAT!A:E,3,FALSE)</f>
        <v>No</v>
      </c>
      <c r="J128" s="164">
        <f>IF(Questions!$G128=Questions!$I128,1,0)</f>
        <v>1</v>
      </c>
      <c r="K128" s="164">
        <v>25.0</v>
      </c>
      <c r="L128" s="164">
        <f>IF(Questions!$H128=1,J128*K128,"")</f>
        <v>25</v>
      </c>
      <c r="M128" s="180" t="str">
        <f>VLOOKUP($B128,'Standards Crosswalk'!$A:$H,3,FALSE)</f>
        <v>CSC 12</v>
      </c>
      <c r="N128" s="180" t="str">
        <f>VLOOKUP($B128,'Standards Crosswalk'!$A:$H,4,FALSE)</f>
        <v/>
      </c>
      <c r="O128" s="180" t="str">
        <f>VLOOKUP($B128,'Standards Crosswalk'!$A:$H,5,FALSE)</f>
        <v>18.1.1</v>
      </c>
      <c r="P128" s="180" t="str">
        <f>VLOOKUP($B128,'Standards Crosswalk'!$A:$H,6,FALSE)</f>
        <v/>
      </c>
      <c r="Q128" s="180" t="str">
        <f>VLOOKUP($B128,'Standards Crosswalk'!$A:$H,7,FALSE)</f>
        <v/>
      </c>
      <c r="R128" s="180" t="str">
        <f>VLOOKUP($B128,'Standards Crosswalk'!$A:$H,8,FALSE)</f>
        <v/>
      </c>
      <c r="S128" s="180">
        <f>VLOOKUP($B128,'Standards Crosswalk'!$A:$I,9,FALSE)</f>
        <v>12.9</v>
      </c>
      <c r="T128" s="164"/>
      <c r="U128" s="164"/>
      <c r="V128" s="164"/>
      <c r="W128" s="164"/>
      <c r="X128" s="164"/>
      <c r="Y128" s="164"/>
      <c r="Z128" s="164"/>
    </row>
    <row r="129" ht="13.5" customHeight="1">
      <c r="A129" s="164">
        <f t="shared" si="3"/>
        <v>127</v>
      </c>
      <c r="B129" s="171" t="str">
        <f>IF(I128="Yes","DCTR-10","")</f>
        <v/>
      </c>
      <c r="C129" s="164" t="str">
        <f>VLOOKUP(B129,HECVAT!A:E,2,FALSE)</f>
        <v>#N/A</v>
      </c>
      <c r="D129" s="164" t="str">
        <f>VLOOKUP(B129,HECVAT!A:E,4,FALSE)</f>
        <v>#N/A</v>
      </c>
      <c r="E129" s="174" t="b">
        <f>IF(Questions!$K129&gt;20,TRUE,FALSE)</f>
        <v>1</v>
      </c>
      <c r="F129" s="174" t="s">
        <v>2745</v>
      </c>
      <c r="G129" s="171" t="s">
        <v>85</v>
      </c>
      <c r="H129" s="176">
        <f>IF(I128="Yes",1,0)</f>
        <v>0</v>
      </c>
      <c r="I129" s="164" t="str">
        <f>VLOOKUP(B129,HECVAT!A:E,3,FALSE)</f>
        <v>#N/A</v>
      </c>
      <c r="J129" s="164" t="str">
        <f>IF(VLOOKUP(Questions!$B129,'Analyst Report'!$A$38:$G$85,7,FALSE)="Yes",1,0)</f>
        <v>#N/A</v>
      </c>
      <c r="K129" s="164" t="str">
        <f>IF(Questions!$H129=1,20,"")</f>
        <v/>
      </c>
      <c r="L129" s="164" t="str">
        <f>IF(Questions!$H129=1,J129*K129,"")</f>
        <v/>
      </c>
      <c r="M129" s="180" t="str">
        <f>VLOOKUP($B129,'Standards Crosswalk'!$A:$H,3,FALSE)</f>
        <v>#N/A</v>
      </c>
      <c r="N129" s="180" t="str">
        <f>VLOOKUP($B129,'Standards Crosswalk'!$A:$H,4,FALSE)</f>
        <v>#N/A</v>
      </c>
      <c r="O129" s="180" t="str">
        <f>VLOOKUP($B129,'Standards Crosswalk'!$A:$H,5,FALSE)</f>
        <v>#N/A</v>
      </c>
      <c r="P129" s="180" t="str">
        <f>VLOOKUP($B129,'Standards Crosswalk'!$A:$H,6,FALSE)</f>
        <v>#N/A</v>
      </c>
      <c r="Q129" s="180" t="str">
        <f>VLOOKUP($B129,'Standards Crosswalk'!$A:$H,7,FALSE)</f>
        <v>#N/A</v>
      </c>
      <c r="R129" s="180" t="str">
        <f>VLOOKUP($B129,'Standards Crosswalk'!$A:$H,8,FALSE)</f>
        <v>#N/A</v>
      </c>
      <c r="S129" s="180" t="str">
        <f>VLOOKUP($B129,'Standards Crosswalk'!$A:$I,9,FALSE)</f>
        <v>#N/A</v>
      </c>
      <c r="T129" s="164"/>
      <c r="U129" s="164"/>
      <c r="V129" s="164"/>
      <c r="W129" s="164"/>
      <c r="X129" s="164"/>
      <c r="Y129" s="164"/>
      <c r="Z129" s="164"/>
    </row>
    <row r="130" ht="13.5" customHeight="1">
      <c r="A130" s="164">
        <f t="shared" si="3"/>
        <v>128</v>
      </c>
      <c r="B130" s="171" t="s">
        <v>629</v>
      </c>
      <c r="C130" s="164" t="str">
        <f>VLOOKUP(B130,HECVAT!A:E,2,FALSE)</f>
        <v>Are your primary and secondary data centers geographically diverse?</v>
      </c>
      <c r="D130" s="212" t="str">
        <f>VLOOKUP(B130,HECVAT!A:E,4,FALSE)</f>
        <v>Google Gloud &amp; Amazon AWS</v>
      </c>
      <c r="E130" s="174" t="b">
        <f>IF(Questions!$K130&gt;20,TRUE,FALSE)</f>
        <v>0</v>
      </c>
      <c r="F130" s="174" t="s">
        <v>2745</v>
      </c>
      <c r="G130" s="171" t="s">
        <v>92</v>
      </c>
      <c r="H130" s="176">
        <v>1.0</v>
      </c>
      <c r="I130" s="164" t="str">
        <f>VLOOKUP(B130,HECVAT!A:E,3,FALSE)</f>
        <v>Yes</v>
      </c>
      <c r="J130" s="164">
        <f>IF(Questions!$G130=Questions!$I130,1,0)</f>
        <v>1</v>
      </c>
      <c r="K130" s="164">
        <f>IF(Questions!$H130=1,20,"")</f>
        <v>20</v>
      </c>
      <c r="L130" s="164">
        <f>IF(Questions!$H130=1,J130*K130,"")</f>
        <v>20</v>
      </c>
      <c r="M130" s="180" t="str">
        <f>VLOOKUP($B130,'Standards Crosswalk'!$A:$H,3,FALSE)</f>
        <v>CSC 10</v>
      </c>
      <c r="N130" s="180" t="str">
        <f>VLOOKUP($B130,'Standards Crosswalk'!$A:$H,4,FALSE)</f>
        <v/>
      </c>
      <c r="O130" s="180" t="str">
        <f>VLOOKUP($B130,'Standards Crosswalk'!$A:$H,5,FALSE)</f>
        <v>11.1.4</v>
      </c>
      <c r="P130" s="180" t="str">
        <f>VLOOKUP($B130,'Standards Crosswalk'!$A:$H,6,FALSE)</f>
        <v/>
      </c>
      <c r="Q130" s="180" t="str">
        <f>VLOOKUP($B130,'Standards Crosswalk'!$A:$H,7,FALSE)</f>
        <v/>
      </c>
      <c r="R130" s="180" t="str">
        <f>VLOOKUP($B130,'Standards Crosswalk'!$A:$H,8,FALSE)</f>
        <v/>
      </c>
      <c r="S130" s="180">
        <f>VLOOKUP($B130,'Standards Crosswalk'!$A:$I,9,FALSE)</f>
        <v>12.8</v>
      </c>
      <c r="T130" s="164"/>
      <c r="U130" s="164"/>
      <c r="V130" s="164"/>
      <c r="W130" s="164"/>
      <c r="X130" s="164"/>
      <c r="Y130" s="164"/>
      <c r="Z130" s="164"/>
    </row>
    <row r="131" ht="13.5" customHeight="1">
      <c r="A131" s="164">
        <f t="shared" si="3"/>
        <v>129</v>
      </c>
      <c r="B131" s="171" t="s">
        <v>632</v>
      </c>
      <c r="C131" s="164" t="str">
        <f>VLOOKUP(B131,HECVAT!A:E,2,FALSE)</f>
        <v>If outsourced or co-located, is there a contract in place to prevent data from leaving the Institution's Data Zone?</v>
      </c>
      <c r="D131" s="212" t="str">
        <f>VLOOKUP(B131,HECVAT!A:E,4,FALSE)</f>
        <v/>
      </c>
      <c r="E131" s="174" t="b">
        <f>IF(Questions!$K131&gt;20,TRUE,FALSE)</f>
        <v>0</v>
      </c>
      <c r="F131" s="174" t="s">
        <v>2745</v>
      </c>
      <c r="G131" s="171" t="s">
        <v>92</v>
      </c>
      <c r="H131" s="176">
        <v>1.0</v>
      </c>
      <c r="I131" s="164" t="str">
        <f>VLOOKUP(B131,HECVAT!A:E,3,FALSE)</f>
        <v>Yes</v>
      </c>
      <c r="J131" s="164">
        <f>IF(Questions!$G131=Questions!$I131,1,0)</f>
        <v>1</v>
      </c>
      <c r="K131" s="164">
        <f>IF(Questions!$H131=1,20,"")</f>
        <v>20</v>
      </c>
      <c r="L131" s="164">
        <f>IF(Questions!$H131=1,J131*K131,"")</f>
        <v>20</v>
      </c>
      <c r="M131" s="180" t="str">
        <f>VLOOKUP($B131,'Standards Crosswalk'!$A:$H,3,FALSE)</f>
        <v>CSC 12</v>
      </c>
      <c r="N131" s="180" t="str">
        <f>VLOOKUP($B131,'Standards Crosswalk'!$A:$H,4,FALSE)</f>
        <v/>
      </c>
      <c r="O131" s="180" t="str">
        <f>VLOOKUP($B131,'Standards Crosswalk'!$A:$H,5,FALSE)</f>
        <v>18.1.1</v>
      </c>
      <c r="P131" s="180" t="str">
        <f>VLOOKUP($B131,'Standards Crosswalk'!$A:$H,6,FALSE)</f>
        <v/>
      </c>
      <c r="Q131" s="180" t="str">
        <f>VLOOKUP($B131,'Standards Crosswalk'!$A:$H,7,FALSE)</f>
        <v/>
      </c>
      <c r="R131" s="180" t="str">
        <f>VLOOKUP($B131,'Standards Crosswalk'!$A:$H,8,FALSE)</f>
        <v/>
      </c>
      <c r="S131" s="180">
        <f>VLOOKUP($B131,'Standards Crosswalk'!$A:$I,9,FALSE)</f>
        <v>12.8</v>
      </c>
      <c r="T131" s="164"/>
      <c r="U131" s="164"/>
      <c r="V131" s="164"/>
      <c r="W131" s="164"/>
      <c r="X131" s="164"/>
      <c r="Y131" s="164"/>
      <c r="Z131" s="164"/>
    </row>
    <row r="132" ht="13.5" customHeight="1">
      <c r="A132" s="164">
        <f t="shared" si="3"/>
        <v>130</v>
      </c>
      <c r="B132" s="171" t="s">
        <v>635</v>
      </c>
      <c r="C132" s="164" t="str">
        <f>VLOOKUP(B132,HECVAT!A:E,2,FALSE)</f>
        <v>What Tier Level is your data center (per levels defined by the Uptime Institute)?</v>
      </c>
      <c r="D132" s="164" t="str">
        <f>VLOOKUP(B132,HECVAT!A:E,4,FALSE)</f>
        <v>Google Cloud</v>
      </c>
      <c r="E132" s="174" t="b">
        <f>IF(Questions!$K132&gt;20,TRUE,FALSE)</f>
        <v>0</v>
      </c>
      <c r="F132" s="174" t="s">
        <v>2745</v>
      </c>
      <c r="G132" s="171" t="s">
        <v>92</v>
      </c>
      <c r="H132" s="176">
        <v>1.0</v>
      </c>
      <c r="I132" s="164" t="str">
        <f>VLOOKUP(B132,HECVAT!A:E,3,FALSE)</f>
        <v>Tier IV</v>
      </c>
      <c r="J132" s="164">
        <f>IF(VLOOKUP(Questions!$B132,'Analyst Report'!$A$38:$G$85,7,FALSE)="Yes",1,0)</f>
        <v>0</v>
      </c>
      <c r="K132" s="164">
        <f>IF(Questions!$H132=1,15,"")</f>
        <v>15</v>
      </c>
      <c r="L132" s="164">
        <f>IF(Questions!$H132=1,J132*K132,"")</f>
        <v>0</v>
      </c>
      <c r="M132" s="180" t="str">
        <f>VLOOKUP($B132,'Standards Crosswalk'!$A:$H,3,FALSE)</f>
        <v/>
      </c>
      <c r="N132" s="180" t="str">
        <f>VLOOKUP($B132,'Standards Crosswalk'!$A:$H,4,FALSE)</f>
        <v/>
      </c>
      <c r="O132" s="180" t="str">
        <f>VLOOKUP($B132,'Standards Crosswalk'!$A:$H,5,FALSE)</f>
        <v>17.1.1</v>
      </c>
      <c r="P132" s="180" t="str">
        <f>VLOOKUP($B132,'Standards Crosswalk'!$A:$H,6,FALSE)</f>
        <v/>
      </c>
      <c r="Q132" s="180" t="str">
        <f>VLOOKUP($B132,'Standards Crosswalk'!$A:$H,7,FALSE)</f>
        <v/>
      </c>
      <c r="R132" s="180" t="str">
        <f>VLOOKUP($B132,'Standards Crosswalk'!$A:$H,8,FALSE)</f>
        <v/>
      </c>
      <c r="S132" s="180" t="str">
        <f>VLOOKUP($B132,'Standards Crosswalk'!$A:$I,9,FALSE)</f>
        <v/>
      </c>
      <c r="T132" s="164"/>
      <c r="U132" s="164"/>
      <c r="V132" s="164"/>
      <c r="W132" s="164"/>
      <c r="X132" s="164"/>
      <c r="Y132" s="164"/>
      <c r="Z132" s="164"/>
    </row>
    <row r="133" ht="13.5" customHeight="1">
      <c r="A133" s="164">
        <f t="shared" si="3"/>
        <v>131</v>
      </c>
      <c r="B133" s="171" t="s">
        <v>637</v>
      </c>
      <c r="C133" s="164" t="str">
        <f>VLOOKUP(B133,HECVAT!A:E,2,FALSE)</f>
        <v>Is the service hosted in a high availability environment?</v>
      </c>
      <c r="D133" s="212" t="str">
        <f>VLOOKUP(B133,HECVAT!A:E,4,FALSE)</f>
        <v>Google Cloud</v>
      </c>
      <c r="E133" s="174" t="b">
        <f>IF(Questions!$K133&gt;20,TRUE,FALSE)</f>
        <v>0</v>
      </c>
      <c r="F133" s="174" t="s">
        <v>2745</v>
      </c>
      <c r="G133" s="171" t="s">
        <v>92</v>
      </c>
      <c r="H133" s="176">
        <v>1.0</v>
      </c>
      <c r="I133" s="164" t="str">
        <f>VLOOKUP(B133,HECVAT!A:E,3,FALSE)</f>
        <v>Yes</v>
      </c>
      <c r="J133" s="164">
        <f>IF(Questions!$G133=Questions!$I133,1,0)</f>
        <v>1</v>
      </c>
      <c r="K133" s="164">
        <f>IF(Questions!$H133=1,20,"")</f>
        <v>20</v>
      </c>
      <c r="L133" s="164">
        <f>IF(Questions!$H133=1,J133*K133,"")</f>
        <v>20</v>
      </c>
      <c r="M133" s="180" t="str">
        <f>VLOOKUP($B133,'Standards Crosswalk'!$A:$H,3,FALSE)</f>
        <v>CSC 10</v>
      </c>
      <c r="N133" s="180" t="str">
        <f>VLOOKUP($B133,'Standards Crosswalk'!$A:$H,4,FALSE)</f>
        <v/>
      </c>
      <c r="O133" s="180" t="str">
        <f>VLOOKUP($B133,'Standards Crosswalk'!$A:$H,5,FALSE)</f>
        <v>17.1.1</v>
      </c>
      <c r="P133" s="180" t="str">
        <f>VLOOKUP($B133,'Standards Crosswalk'!$A:$H,6,FALSE)</f>
        <v>PR.DS-4</v>
      </c>
      <c r="Q133" s="180" t="str">
        <f>VLOOKUP($B133,'Standards Crosswalk'!$A:$H,7,FALSE)</f>
        <v/>
      </c>
      <c r="R133" s="180" t="str">
        <f>VLOOKUP($B133,'Standards Crosswalk'!$A:$H,8,FALSE)</f>
        <v/>
      </c>
      <c r="S133" s="180" t="str">
        <f>VLOOKUP($B133,'Standards Crosswalk'!$A:$I,9,FALSE)</f>
        <v/>
      </c>
      <c r="T133" s="164"/>
      <c r="U133" s="164"/>
      <c r="V133" s="164"/>
      <c r="W133" s="164"/>
      <c r="X133" s="164"/>
      <c r="Y133" s="164"/>
      <c r="Z133" s="164"/>
    </row>
    <row r="134" ht="13.5" customHeight="1">
      <c r="A134" s="164">
        <f t="shared" si="3"/>
        <v>132</v>
      </c>
      <c r="B134" s="171" t="s">
        <v>640</v>
      </c>
      <c r="C134" s="164" t="str">
        <f>VLOOKUP(B134,HECVAT!A:E,2,FALSE)</f>
        <v>Is redundant power available for all datacenters where institution data will reside? </v>
      </c>
      <c r="D134" s="226" t="str">
        <f>VLOOKUP(B134,HECVAT!A:E,4,FALSE)</f>
        <v>https://cloud.google.com/security</v>
      </c>
      <c r="E134" s="174" t="b">
        <f>IF(Questions!$K134&gt;20,TRUE,FALSE)</f>
        <v>0</v>
      </c>
      <c r="F134" s="174" t="s">
        <v>2745</v>
      </c>
      <c r="G134" s="171" t="s">
        <v>92</v>
      </c>
      <c r="H134" s="176">
        <v>1.0</v>
      </c>
      <c r="I134" s="164" t="str">
        <f>VLOOKUP(B134,HECVAT!A:E,3,FALSE)</f>
        <v>Yes</v>
      </c>
      <c r="J134" s="164">
        <f>IF(Questions!$G134=Questions!$I134,1,0)</f>
        <v>1</v>
      </c>
      <c r="K134" s="164">
        <f>IF(Questions!$H134=1,20,"")</f>
        <v>20</v>
      </c>
      <c r="L134" s="164">
        <f>IF(Questions!$H134=1,J134*K134,"")</f>
        <v>20</v>
      </c>
      <c r="M134" s="180" t="str">
        <f>VLOOKUP($B134,'Standards Crosswalk'!$A:$H,3,FALSE)</f>
        <v/>
      </c>
      <c r="N134" s="180" t="str">
        <f>VLOOKUP($B134,'Standards Crosswalk'!$A:$H,4,FALSE)</f>
        <v/>
      </c>
      <c r="O134" s="180" t="str">
        <f>VLOOKUP($B134,'Standards Crosswalk'!$A:$H,5,FALSE)</f>
        <v>17.2.1</v>
      </c>
      <c r="P134" s="180" t="str">
        <f>VLOOKUP($B134,'Standards Crosswalk'!$A:$H,6,FALSE)</f>
        <v>PR.DS-4</v>
      </c>
      <c r="Q134" s="180" t="str">
        <f>VLOOKUP($B134,'Standards Crosswalk'!$A:$H,7,FALSE)</f>
        <v/>
      </c>
      <c r="R134" s="180" t="str">
        <f>VLOOKUP($B134,'Standards Crosswalk'!$A:$H,8,FALSE)</f>
        <v/>
      </c>
      <c r="S134" s="180" t="str">
        <f>VLOOKUP($B134,'Standards Crosswalk'!$A:$I,9,FALSE)</f>
        <v/>
      </c>
      <c r="T134" s="164"/>
      <c r="U134" s="164"/>
      <c r="V134" s="164"/>
      <c r="W134" s="164"/>
      <c r="X134" s="164"/>
      <c r="Y134" s="164"/>
      <c r="Z134" s="164"/>
    </row>
    <row r="135" ht="13.5" customHeight="1">
      <c r="A135" s="164">
        <f t="shared" si="3"/>
        <v>133</v>
      </c>
      <c r="B135" s="171" t="str">
        <f>IF(I134="Yes","DCTR-16","")</f>
        <v>DCTR-16</v>
      </c>
      <c r="C135" s="164" t="str">
        <f>VLOOKUP(B135,HECVAT!A:E,2,FALSE)</f>
        <v>Are redundant power strategies tested?</v>
      </c>
      <c r="D135" s="226" t="str">
        <f>VLOOKUP(B135,HECVAT!A:E,4,FALSE)</f>
        <v>https://cloud.google.com/security</v>
      </c>
      <c r="E135" s="174" t="b">
        <f>IF(Questions!$K135&gt;20,TRUE,FALSE)</f>
        <v>0</v>
      </c>
      <c r="F135" s="174" t="s">
        <v>2745</v>
      </c>
      <c r="G135" s="171" t="s">
        <v>92</v>
      </c>
      <c r="H135" s="176">
        <f>IF(I134="Yes",1,0)</f>
        <v>1</v>
      </c>
      <c r="I135" s="164" t="str">
        <f>VLOOKUP(B135,HECVAT!A:E,3,FALSE)</f>
        <v>Yes</v>
      </c>
      <c r="J135" s="164">
        <f>IF(Questions!$G135=Questions!$I135,1,0)</f>
        <v>1</v>
      </c>
      <c r="K135" s="164">
        <f>IF(Questions!$H135=1,20,"")</f>
        <v>20</v>
      </c>
      <c r="L135" s="164">
        <f>IF(Questions!$H135=1,J135*K135,"")</f>
        <v>20</v>
      </c>
      <c r="M135" s="180" t="str">
        <f>VLOOKUP($B135,'Standards Crosswalk'!$A:$H,3,FALSE)</f>
        <v/>
      </c>
      <c r="N135" s="180" t="str">
        <f>VLOOKUP($B135,'Standards Crosswalk'!$A:$H,4,FALSE)</f>
        <v/>
      </c>
      <c r="O135" s="180" t="str">
        <f>VLOOKUP($B135,'Standards Crosswalk'!$A:$H,5,FALSE)</f>
        <v>17.1.3</v>
      </c>
      <c r="P135" s="180" t="str">
        <f>VLOOKUP($B135,'Standards Crosswalk'!$A:$H,6,FALSE)</f>
        <v>PR.DS-4</v>
      </c>
      <c r="Q135" s="180" t="str">
        <f>VLOOKUP($B135,'Standards Crosswalk'!$A:$H,7,FALSE)</f>
        <v/>
      </c>
      <c r="R135" s="180" t="str">
        <f>VLOOKUP($B135,'Standards Crosswalk'!$A:$H,8,FALSE)</f>
        <v/>
      </c>
      <c r="S135" s="180" t="str">
        <f>VLOOKUP($B135,'Standards Crosswalk'!$A:$I,9,FALSE)</f>
        <v/>
      </c>
      <c r="T135" s="164"/>
      <c r="U135" s="164"/>
      <c r="V135" s="164"/>
      <c r="W135" s="164"/>
      <c r="X135" s="164"/>
      <c r="Y135" s="164"/>
      <c r="Z135" s="164"/>
    </row>
    <row r="136" ht="13.5" customHeight="1">
      <c r="A136" s="164">
        <f t="shared" si="3"/>
        <v>134</v>
      </c>
      <c r="B136" s="171" t="s">
        <v>645</v>
      </c>
      <c r="C136" s="164" t="str">
        <f>VLOOKUP(B136,HECVAT!A:E,2,FALSE)</f>
        <v>Describe or provide a reference to the availability of cooling and fire suppression systems in all datacenters where institution data will reside.</v>
      </c>
      <c r="D136" s="164" t="str">
        <f>VLOOKUP(B136,HECVAT!A:E,4,FALSE)</f>
        <v/>
      </c>
      <c r="E136" s="174" t="b">
        <f>IF(Questions!$K136&gt;20,TRUE,FALSE)</f>
        <v>0</v>
      </c>
      <c r="F136" s="174" t="s">
        <v>2745</v>
      </c>
      <c r="G136" s="171" t="s">
        <v>92</v>
      </c>
      <c r="H136" s="176">
        <v>1.0</v>
      </c>
      <c r="I136" s="227" t="str">
        <f>VLOOKUP(B136,HECVAT!A:E,3,FALSE)</f>
        <v>https://cloud.google.com/security</v>
      </c>
      <c r="J136" s="164">
        <f>IF(VLOOKUP(B136,'Analyst Report'!$A$38:$H$85,7,FALSE)="Yes",1,0)</f>
        <v>0</v>
      </c>
      <c r="K136" s="164">
        <f>IF(Questions!$H136=1,20,"")</f>
        <v>20</v>
      </c>
      <c r="L136" s="164">
        <f>IF(Questions!$H136=1,J136*K136,"")</f>
        <v>0</v>
      </c>
      <c r="M136" s="180" t="str">
        <f>VLOOKUP($B136,'Standards Crosswalk'!$A:$H,3,FALSE)</f>
        <v/>
      </c>
      <c r="N136" s="180" t="str">
        <f>VLOOKUP($B136,'Standards Crosswalk'!$A:$H,4,FALSE)</f>
        <v/>
      </c>
      <c r="O136" s="180" t="str">
        <f>VLOOKUP($B136,'Standards Crosswalk'!$A:$H,5,FALSE)</f>
        <v>17.2.1</v>
      </c>
      <c r="P136" s="180" t="str">
        <f>VLOOKUP($B136,'Standards Crosswalk'!$A:$H,6,FALSE)</f>
        <v/>
      </c>
      <c r="Q136" s="180" t="str">
        <f>VLOOKUP($B136,'Standards Crosswalk'!$A:$H,7,FALSE)</f>
        <v/>
      </c>
      <c r="R136" s="180" t="str">
        <f>VLOOKUP($B136,'Standards Crosswalk'!$A:$H,8,FALSE)</f>
        <v>PE-2, PE-3, PE-5, PE-11, PE-13, PE-14</v>
      </c>
      <c r="S136" s="180" t="str">
        <f>VLOOKUP($B136,'Standards Crosswalk'!$A:$I,9,FALSE)</f>
        <v/>
      </c>
      <c r="T136" s="164"/>
      <c r="U136" s="164"/>
      <c r="V136" s="164"/>
      <c r="W136" s="164"/>
      <c r="X136" s="164"/>
      <c r="Y136" s="164"/>
      <c r="Z136" s="164"/>
    </row>
    <row r="137" ht="13.5" customHeight="1">
      <c r="A137" s="164">
        <f t="shared" si="3"/>
        <v>135</v>
      </c>
      <c r="B137" s="171" t="s">
        <v>648</v>
      </c>
      <c r="C137" s="164" t="str">
        <f>VLOOKUP(B137,HECVAT!A:E,2,FALSE)</f>
        <v>State how many Internet Service Providers (ISPs) provide connectivity to each datacenter where the institution's data will reside. </v>
      </c>
      <c r="D137" s="164" t="str">
        <f>VLOOKUP(B137,HECVAT!A:E,4,FALSE)</f>
        <v/>
      </c>
      <c r="E137" s="174" t="b">
        <f>IF(Questions!$K137&gt;20,TRUE,FALSE)</f>
        <v>0</v>
      </c>
      <c r="F137" s="174" t="s">
        <v>2745</v>
      </c>
      <c r="G137" s="171" t="s">
        <v>92</v>
      </c>
      <c r="H137" s="176">
        <v>1.0</v>
      </c>
      <c r="I137" s="164" t="str">
        <f>VLOOKUP(B137,HECVAT!A:E,3,FALSE)</f>
        <v>Unknown</v>
      </c>
      <c r="J137" s="164">
        <f>IF(VLOOKUP(B137,'Analyst Report'!$A$38:$H$85,7,FALSE)="Yes",1,0)</f>
        <v>0</v>
      </c>
      <c r="K137" s="164">
        <f>IF(Questions!$H137=1,20,"")</f>
        <v>20</v>
      </c>
      <c r="L137" s="164">
        <f>IF(Questions!$H137=1,J137*K137,"")</f>
        <v>0</v>
      </c>
      <c r="M137" s="180" t="str">
        <f>VLOOKUP($B137,'Standards Crosswalk'!$A:$H,3,FALSE)</f>
        <v>CSC 10</v>
      </c>
      <c r="N137" s="180" t="str">
        <f>VLOOKUP($B137,'Standards Crosswalk'!$A:$H,4,FALSE)</f>
        <v/>
      </c>
      <c r="O137" s="180" t="str">
        <f>VLOOKUP($B137,'Standards Crosswalk'!$A:$H,5,FALSE)</f>
        <v>17.2.1</v>
      </c>
      <c r="P137" s="180" t="str">
        <f>VLOOKUP($B137,'Standards Crosswalk'!$A:$H,6,FALSE)</f>
        <v>PR.DS-4</v>
      </c>
      <c r="Q137" s="180" t="str">
        <f>VLOOKUP($B137,'Standards Crosswalk'!$A:$H,7,FALSE)</f>
        <v/>
      </c>
      <c r="R137" s="180" t="str">
        <f>VLOOKUP($B137,'Standards Crosswalk'!$A:$H,8,FALSE)</f>
        <v>PE-2, PE-3, PE-5, PE-11, PE-13, PE-14</v>
      </c>
      <c r="S137" s="180">
        <f>VLOOKUP($B137,'Standards Crosswalk'!$A:$I,9,FALSE)</f>
        <v>12.8</v>
      </c>
      <c r="T137" s="164"/>
      <c r="U137" s="164"/>
      <c r="V137" s="164"/>
      <c r="W137" s="164"/>
      <c r="X137" s="164"/>
      <c r="Y137" s="164"/>
      <c r="Z137" s="164"/>
    </row>
    <row r="138" ht="13.5" customHeight="1">
      <c r="A138" s="164">
        <f t="shared" si="3"/>
        <v>136</v>
      </c>
      <c r="B138" s="171" t="s">
        <v>650</v>
      </c>
      <c r="C138" s="164" t="str">
        <f>VLOOKUP(B138,HECVAT!A:E,2,FALSE)</f>
        <v>Does every datacenter where the Institution's data will reside have multiple telephone company or network provider entrances to the facility?</v>
      </c>
      <c r="D138" s="212" t="str">
        <f>VLOOKUP(B138,HECVAT!A:E,4,FALSE)</f>
        <v>Unknown</v>
      </c>
      <c r="E138" s="174" t="b">
        <f>IF(Questions!$K138&gt;20,TRUE,FALSE)</f>
        <v>0</v>
      </c>
      <c r="F138" s="174" t="s">
        <v>2745</v>
      </c>
      <c r="G138" s="171" t="s">
        <v>92</v>
      </c>
      <c r="H138" s="176">
        <v>1.0</v>
      </c>
      <c r="I138" s="164" t="str">
        <f>VLOOKUP(B138,HECVAT!A:E,3,FALSE)</f>
        <v>No</v>
      </c>
      <c r="J138" s="164">
        <f>IF(Questions!$G138=Questions!$I138,1,0)</f>
        <v>0</v>
      </c>
      <c r="K138" s="164">
        <f>IF(Questions!$H138=1,20,"")</f>
        <v>20</v>
      </c>
      <c r="L138" s="164">
        <f>IF(Questions!$H138=1,J138*K138,"")</f>
        <v>0</v>
      </c>
      <c r="M138" s="180" t="str">
        <f>VLOOKUP($B138,'Standards Crosswalk'!$A:$H,3,FALSE)</f>
        <v>CSC 13</v>
      </c>
      <c r="N138" s="180" t="str">
        <f>VLOOKUP($B138,'Standards Crosswalk'!$A:$H,4,FALSE)</f>
        <v/>
      </c>
      <c r="O138" s="180" t="str">
        <f>VLOOKUP($B138,'Standards Crosswalk'!$A:$H,5,FALSE)</f>
        <v>17.2.1</v>
      </c>
      <c r="P138" s="180" t="str">
        <f>VLOOKUP($B138,'Standards Crosswalk'!$A:$H,6,FALSE)</f>
        <v>PR.DS-4</v>
      </c>
      <c r="Q138" s="180" t="str">
        <f>VLOOKUP($B138,'Standards Crosswalk'!$A:$H,7,FALSE)</f>
        <v/>
      </c>
      <c r="R138" s="180" t="str">
        <f>VLOOKUP($B138,'Standards Crosswalk'!$A:$H,8,FALSE)</f>
        <v>PE-2, PE-3, PE-5, PE-11, PE-13, PE-14</v>
      </c>
      <c r="S138" s="180">
        <f>VLOOKUP($B138,'Standards Crosswalk'!$A:$I,9,FALSE)</f>
        <v>12.8</v>
      </c>
      <c r="T138" s="164"/>
      <c r="U138" s="164"/>
      <c r="V138" s="164"/>
      <c r="W138" s="164"/>
      <c r="X138" s="164"/>
      <c r="Y138" s="164"/>
      <c r="Z138" s="164"/>
    </row>
    <row r="139" ht="13.5" customHeight="1">
      <c r="A139" s="164">
        <f t="shared" si="3"/>
        <v>137</v>
      </c>
      <c r="B139" s="171" t="s">
        <v>654</v>
      </c>
      <c r="C139" s="164" t="str">
        <f>VLOOKUP(B139,HECVAT!A:E,2,FALSE)</f>
        <v>Describe or provide a reference to your Disaster Recovery Plan (DRP).</v>
      </c>
      <c r="D139" s="164" t="str">
        <f>VLOOKUP(B139,HECVAT!A:E,4,FALSE)</f>
        <v/>
      </c>
      <c r="E139" s="174" t="b">
        <f>IF(Questions!$K139&gt;20,TRUE,FALSE)</f>
        <v>1</v>
      </c>
      <c r="F139" s="174" t="s">
        <v>2833</v>
      </c>
      <c r="G139" s="171" t="s">
        <v>92</v>
      </c>
      <c r="H139" s="176">
        <v>1.0</v>
      </c>
      <c r="I139" s="164" t="str">
        <f>VLOOKUP(B139,HECVAT!A:E,3,FALSE)</f>
        <v>We cannot share our Disaster Recovery Plan unless we are under NDA.</v>
      </c>
      <c r="J139" s="164">
        <f>IF(VLOOKUP(Questions!$B139,'Analyst Report'!$A$38:$G$85,7,FALSE)="Yes",1,0)</f>
        <v>0</v>
      </c>
      <c r="K139" s="164">
        <f>IF(Questions!$H139=1,25,"")</f>
        <v>25</v>
      </c>
      <c r="L139" s="164">
        <f>IF(Questions!$H139=1,J139*K139,"")</f>
        <v>0</v>
      </c>
      <c r="M139" s="180" t="str">
        <f>VLOOKUP($B139,'Standards Crosswalk'!$A:$H,3,FALSE)</f>
        <v>CSC 10</v>
      </c>
      <c r="N139" s="180" t="str">
        <f>VLOOKUP($B139,'Standards Crosswalk'!$A:$H,4,FALSE)</f>
        <v/>
      </c>
      <c r="O139" s="180" t="str">
        <f>VLOOKUP($B139,'Standards Crosswalk'!$A:$H,5,FALSE)</f>
        <v>17.1.1</v>
      </c>
      <c r="P139" s="180" t="str">
        <f>VLOOKUP($B139,'Standards Crosswalk'!$A:$H,6,FALSE)</f>
        <v>PR.IP-9</v>
      </c>
      <c r="Q139" s="180" t="str">
        <f>VLOOKUP($B139,'Standards Crosswalk'!$A:$H,7,FALSE)</f>
        <v>3.12.2</v>
      </c>
      <c r="R139" s="180" t="str">
        <f>VLOOKUP($B139,'Standards Crosswalk'!$A:$H,8,FALSE)</f>
        <v>AC-5, CP-4, CP-10; NIST SP 800-34</v>
      </c>
      <c r="S139" s="180">
        <f>VLOOKUP($B139,'Standards Crosswalk'!$A:$I,9,FALSE)</f>
        <v>12.8</v>
      </c>
      <c r="T139" s="164"/>
      <c r="U139" s="164"/>
      <c r="V139" s="164"/>
      <c r="W139" s="164"/>
      <c r="X139" s="164"/>
      <c r="Y139" s="164"/>
      <c r="Z139" s="164"/>
    </row>
    <row r="140" ht="13.5" customHeight="1">
      <c r="A140" s="164">
        <f t="shared" si="3"/>
        <v>138</v>
      </c>
      <c r="B140" s="171" t="s">
        <v>656</v>
      </c>
      <c r="C140" s="164" t="str">
        <f>VLOOKUP(B140,HECVAT!A:E,2,FALSE)</f>
        <v>Is an owner assigned who is responsible for the maintenance and review of the DRP?</v>
      </c>
      <c r="D140" s="212" t="str">
        <f>VLOOKUP(B140,HECVAT!A:E,4,FALSE)</f>
        <v/>
      </c>
      <c r="E140" s="174" t="b">
        <f>IF(Questions!$K140&gt;20,TRUE,FALSE)</f>
        <v>0</v>
      </c>
      <c r="F140" s="174" t="s">
        <v>2833</v>
      </c>
      <c r="G140" s="171" t="s">
        <v>92</v>
      </c>
      <c r="H140" s="176">
        <v>1.0</v>
      </c>
      <c r="I140" s="164" t="str">
        <f>VLOOKUP(B140,HECVAT!A:E,3,FALSE)</f>
        <v>Yes</v>
      </c>
      <c r="J140" s="164">
        <f>IF(Questions!$G140=Questions!$I140,1,0)</f>
        <v>1</v>
      </c>
      <c r="K140" s="164">
        <f>IF(Questions!$H140=1,20,"")</f>
        <v>20</v>
      </c>
      <c r="L140" s="164">
        <f>IF(Questions!$H140=1,J140*K140,"")</f>
        <v>20</v>
      </c>
      <c r="M140" s="180" t="str">
        <f>VLOOKUP($B140,'Standards Crosswalk'!$A:$H,3,FALSE)</f>
        <v>CSC 10</v>
      </c>
      <c r="N140" s="180" t="str">
        <f>VLOOKUP($B140,'Standards Crosswalk'!$A:$H,4,FALSE)</f>
        <v/>
      </c>
      <c r="O140" s="180" t="str">
        <f>VLOOKUP($B140,'Standards Crosswalk'!$A:$H,5,FALSE)</f>
        <v>16.1.1, 17.1.1</v>
      </c>
      <c r="P140" s="180" t="str">
        <f>VLOOKUP($B140,'Standards Crosswalk'!$A:$H,6,FALSE)</f>
        <v>PR.IP-9</v>
      </c>
      <c r="Q140" s="180" t="str">
        <f>VLOOKUP($B140,'Standards Crosswalk'!$A:$H,7,FALSE)</f>
        <v>3.12.2</v>
      </c>
      <c r="R140" s="180" t="str">
        <f>VLOOKUP($B140,'Standards Crosswalk'!$A:$H,8,FALSE)</f>
        <v>AC-5, CP-4, CP-10; NIST SP 800-34</v>
      </c>
      <c r="S140" s="180">
        <f>VLOOKUP($B140,'Standards Crosswalk'!$A:$I,9,FALSE)</f>
        <v>12.8</v>
      </c>
      <c r="T140" s="164"/>
      <c r="U140" s="164"/>
      <c r="V140" s="164"/>
      <c r="W140" s="164"/>
      <c r="X140" s="164"/>
      <c r="Y140" s="164"/>
      <c r="Z140" s="164"/>
    </row>
    <row r="141" ht="13.5" customHeight="1">
      <c r="A141" s="164">
        <f t="shared" si="3"/>
        <v>139</v>
      </c>
      <c r="B141" s="171" t="s">
        <v>659</v>
      </c>
      <c r="C141" s="164" t="str">
        <f>VLOOKUP(B141,HECVAT!A:E,2,FALSE)</f>
        <v>Can the Institution review your DRP and supporting documentation?</v>
      </c>
      <c r="D141" s="212" t="str">
        <f>VLOOKUP(B141,HECVAT!A:E,4,FALSE)</f>
        <v/>
      </c>
      <c r="E141" s="174" t="b">
        <f>IF(Questions!$K141&gt;20,TRUE,FALSE)</f>
        <v>0</v>
      </c>
      <c r="F141" s="174" t="s">
        <v>2833</v>
      </c>
      <c r="G141" s="171" t="s">
        <v>92</v>
      </c>
      <c r="H141" s="176">
        <v>1.0</v>
      </c>
      <c r="I141" s="164" t="str">
        <f>VLOOKUP(B141,HECVAT!A:E,3,FALSE)</f>
        <v>No</v>
      </c>
      <c r="J141" s="164">
        <f>IF(Questions!$G141=Questions!$I141,1,0)</f>
        <v>0</v>
      </c>
      <c r="K141" s="164">
        <f>IF(Questions!$H141=1,20,"")</f>
        <v>20</v>
      </c>
      <c r="L141" s="164">
        <f>IF(Questions!$H141=1,J141*K141,"")</f>
        <v>0</v>
      </c>
      <c r="M141" s="180" t="str">
        <f>VLOOKUP($B141,'Standards Crosswalk'!$A:$H,3,FALSE)</f>
        <v>CSC 10</v>
      </c>
      <c r="N141" s="180" t="str">
        <f>VLOOKUP($B141,'Standards Crosswalk'!$A:$H,4,FALSE)</f>
        <v/>
      </c>
      <c r="O141" s="180" t="str">
        <f>VLOOKUP($B141,'Standards Crosswalk'!$A:$H,5,FALSE)</f>
        <v/>
      </c>
      <c r="P141" s="180" t="str">
        <f>VLOOKUP($B141,'Standards Crosswalk'!$A:$H,6,FALSE)</f>
        <v>PR.IP-9</v>
      </c>
      <c r="Q141" s="180" t="str">
        <f>VLOOKUP($B141,'Standards Crosswalk'!$A:$H,7,FALSE)</f>
        <v>3.12.2</v>
      </c>
      <c r="R141" s="180" t="str">
        <f>VLOOKUP($B141,'Standards Crosswalk'!$A:$H,8,FALSE)</f>
        <v>AC-5, CP-4, CP-10; NIST SP 800-34</v>
      </c>
      <c r="S141" s="180">
        <f>VLOOKUP($B141,'Standards Crosswalk'!$A:$I,9,FALSE)</f>
        <v>12.8</v>
      </c>
      <c r="T141" s="164"/>
      <c r="U141" s="164"/>
      <c r="V141" s="164"/>
      <c r="W141" s="164"/>
      <c r="X141" s="164"/>
      <c r="Y141" s="164"/>
      <c r="Z141" s="164"/>
    </row>
    <row r="142" ht="13.5" customHeight="1">
      <c r="A142" s="164">
        <f t="shared" si="3"/>
        <v>140</v>
      </c>
      <c r="B142" s="171" t="s">
        <v>661</v>
      </c>
      <c r="C142" s="164" t="str">
        <f>VLOOKUP(B142,HECVAT!A:E,2,FALSE)</f>
        <v>Are any disaster recovery locations outside the Institution's Data Zone?</v>
      </c>
      <c r="D142" s="212" t="str">
        <f>VLOOKUP(B142,HECVAT!A:E,4,FALSE)</f>
        <v/>
      </c>
      <c r="E142" s="174" t="b">
        <f>IF(Questions!$K142&gt;20,TRUE,FALSE)</f>
        <v>0</v>
      </c>
      <c r="F142" s="174" t="s">
        <v>2833</v>
      </c>
      <c r="G142" s="171" t="s">
        <v>85</v>
      </c>
      <c r="H142" s="176">
        <v>1.0</v>
      </c>
      <c r="I142" s="164" t="str">
        <f>VLOOKUP(B142,HECVAT!A:E,3,FALSE)</f>
        <v>No</v>
      </c>
      <c r="J142" s="164">
        <f>IF(Questions!$G142=Questions!$I142,1,0)</f>
        <v>1</v>
      </c>
      <c r="K142" s="164">
        <f>IF(Questions!$H142=1,20,"")</f>
        <v>20</v>
      </c>
      <c r="L142" s="164">
        <f>IF(Questions!$H142=1,J142*K142,"")</f>
        <v>20</v>
      </c>
      <c r="M142" s="180" t="str">
        <f>VLOOKUP($B142,'Standards Crosswalk'!$A:$H,3,FALSE)</f>
        <v>CSC 10, CSC 12</v>
      </c>
      <c r="N142" s="180" t="str">
        <f>VLOOKUP($B142,'Standards Crosswalk'!$A:$H,4,FALSE)</f>
        <v/>
      </c>
      <c r="O142" s="180" t="str">
        <f>VLOOKUP($B142,'Standards Crosswalk'!$A:$H,5,FALSE)</f>
        <v>17.1.1</v>
      </c>
      <c r="P142" s="180" t="str">
        <f>VLOOKUP($B142,'Standards Crosswalk'!$A:$H,6,FALSE)</f>
        <v>PR.IP-9</v>
      </c>
      <c r="Q142" s="180" t="str">
        <f>VLOOKUP($B142,'Standards Crosswalk'!$A:$H,7,FALSE)</f>
        <v/>
      </c>
      <c r="R142" s="180" t="str">
        <f>VLOOKUP($B142,'Standards Crosswalk'!$A:$H,8,FALSE)</f>
        <v>AC-5, CP-4, CP-10; NIST SP 800-34</v>
      </c>
      <c r="S142" s="180">
        <f>VLOOKUP($B142,'Standards Crosswalk'!$A:$I,9,FALSE)</f>
        <v>12.8</v>
      </c>
      <c r="T142" s="164"/>
      <c r="U142" s="164"/>
      <c r="V142" s="164"/>
      <c r="W142" s="164"/>
      <c r="X142" s="164"/>
      <c r="Y142" s="164"/>
      <c r="Z142" s="164"/>
    </row>
    <row r="143" ht="13.5" customHeight="1">
      <c r="A143" s="164">
        <f t="shared" si="3"/>
        <v>141</v>
      </c>
      <c r="B143" s="171" t="s">
        <v>665</v>
      </c>
      <c r="C143" s="164" t="str">
        <f>VLOOKUP(B143,HECVAT!A:E,2,FALSE)</f>
        <v>Does your organization have a disaster recovery site or a contracted Disaster Recovery provider?</v>
      </c>
      <c r="D143" s="212" t="str">
        <f>VLOOKUP(B143,HECVAT!A:E,4,FALSE)</f>
        <v/>
      </c>
      <c r="E143" s="174" t="b">
        <f>IF(Questions!$K143&gt;20,TRUE,FALSE)</f>
        <v>0</v>
      </c>
      <c r="F143" s="174" t="s">
        <v>2833</v>
      </c>
      <c r="G143" s="171" t="s">
        <v>92</v>
      </c>
      <c r="H143" s="176">
        <v>1.0</v>
      </c>
      <c r="I143" s="164" t="str">
        <f>VLOOKUP(B143,HECVAT!A:E,3,FALSE)</f>
        <v>No</v>
      </c>
      <c r="J143" s="164">
        <f>IF(Questions!$G143=Questions!$I143,1,0)</f>
        <v>0</v>
      </c>
      <c r="K143" s="164">
        <f>IF(Questions!$H143=1,20,"")</f>
        <v>20</v>
      </c>
      <c r="L143" s="164">
        <f>IF(Questions!$H143=1,J143*K143,"")</f>
        <v>0</v>
      </c>
      <c r="M143" s="180" t="str">
        <f>VLOOKUP($B143,'Standards Crosswalk'!$A:$H,3,FALSE)</f>
        <v>CSC 10</v>
      </c>
      <c r="N143" s="180" t="str">
        <f>VLOOKUP($B143,'Standards Crosswalk'!$A:$H,4,FALSE)</f>
        <v/>
      </c>
      <c r="O143" s="180" t="str">
        <f>VLOOKUP($B143,'Standards Crosswalk'!$A:$H,5,FALSE)</f>
        <v>17.2.1</v>
      </c>
      <c r="P143" s="180" t="str">
        <f>VLOOKUP($B143,'Standards Crosswalk'!$A:$H,6,FALSE)</f>
        <v>PR.IP-9</v>
      </c>
      <c r="Q143" s="180" t="str">
        <f>VLOOKUP($B143,'Standards Crosswalk'!$A:$H,7,FALSE)</f>
        <v/>
      </c>
      <c r="R143" s="180" t="str">
        <f>VLOOKUP($B143,'Standards Crosswalk'!$A:$H,8,FALSE)</f>
        <v>AC-5, CP-4, CP-10; NIST SP 800-34</v>
      </c>
      <c r="S143" s="180" t="str">
        <f>VLOOKUP($B143,'Standards Crosswalk'!$A:$I,9,FALSE)</f>
        <v/>
      </c>
      <c r="T143" s="164"/>
      <c r="U143" s="164"/>
      <c r="V143" s="164"/>
      <c r="W143" s="164"/>
      <c r="X143" s="164"/>
      <c r="Y143" s="164"/>
      <c r="Z143" s="164"/>
    </row>
    <row r="144" ht="13.5" customHeight="1">
      <c r="A144" s="164">
        <f t="shared" si="3"/>
        <v>142</v>
      </c>
      <c r="B144" s="171" t="str">
        <f>IF(I143="Yes","DRPL-06","")</f>
        <v/>
      </c>
      <c r="C144" s="164" t="str">
        <f>VLOOKUP(B144,HECVAT!A:E,2,FALSE)</f>
        <v>#N/A</v>
      </c>
      <c r="D144" s="164" t="str">
        <f>VLOOKUP(B144,HECVAT!A:E,4,FALSE)</f>
        <v>#N/A</v>
      </c>
      <c r="E144" s="174" t="b">
        <f>IF(Questions!$K144&gt;20,TRUE,FALSE)</f>
        <v>1</v>
      </c>
      <c r="F144" s="174" t="s">
        <v>2833</v>
      </c>
      <c r="G144" s="171" t="s">
        <v>92</v>
      </c>
      <c r="H144" s="176">
        <f>IF(I143="Yes",1,0)</f>
        <v>0</v>
      </c>
      <c r="I144" s="164" t="str">
        <f>VLOOKUP(B144,HECVAT!A:E,3,FALSE)</f>
        <v>#N/A</v>
      </c>
      <c r="J144" s="164" t="str">
        <f>IF(Questions!$G144=Questions!$I144,1,0)</f>
        <v>#N/A</v>
      </c>
      <c r="K144" s="164" t="str">
        <f>IF(Questions!$H144=1,20,"")</f>
        <v/>
      </c>
      <c r="L144" s="164" t="str">
        <f>IF(Questions!$H144=1,J144*K144,"")</f>
        <v/>
      </c>
      <c r="M144" s="180" t="str">
        <f>VLOOKUP($B144,'Standards Crosswalk'!$A:$H,3,FALSE)</f>
        <v>#N/A</v>
      </c>
      <c r="N144" s="180" t="str">
        <f>VLOOKUP($B144,'Standards Crosswalk'!$A:$H,4,FALSE)</f>
        <v>#N/A</v>
      </c>
      <c r="O144" s="180" t="str">
        <f>VLOOKUP($B144,'Standards Crosswalk'!$A:$H,5,FALSE)</f>
        <v>#N/A</v>
      </c>
      <c r="P144" s="180" t="str">
        <f>VLOOKUP($B144,'Standards Crosswalk'!$A:$H,6,FALSE)</f>
        <v>#N/A</v>
      </c>
      <c r="Q144" s="180" t="str">
        <f>VLOOKUP($B144,'Standards Crosswalk'!$A:$H,7,FALSE)</f>
        <v>#N/A</v>
      </c>
      <c r="R144" s="180" t="str">
        <f>VLOOKUP($B144,'Standards Crosswalk'!$A:$H,8,FALSE)</f>
        <v>#N/A</v>
      </c>
      <c r="S144" s="180" t="str">
        <f>VLOOKUP($B144,'Standards Crosswalk'!$A:$I,9,FALSE)</f>
        <v>#N/A</v>
      </c>
      <c r="T144" s="164"/>
      <c r="U144" s="164"/>
      <c r="V144" s="164"/>
      <c r="W144" s="164"/>
      <c r="X144" s="164"/>
      <c r="Y144" s="164"/>
      <c r="Z144" s="164"/>
    </row>
    <row r="145" ht="13.5" customHeight="1">
      <c r="A145" s="164">
        <f t="shared" si="3"/>
        <v>143</v>
      </c>
      <c r="B145" s="171" t="s">
        <v>669</v>
      </c>
      <c r="C145" s="164" t="str">
        <f>VLOOKUP(B145,HECVAT!A:E,2,FALSE)</f>
        <v>Is there a defined problem/issue escalation plan in your DRP for impacted clients?</v>
      </c>
      <c r="D145" s="212" t="str">
        <f>VLOOKUP(B145,HECVAT!A:E,4,FALSE)</f>
        <v>Issues affecting clients are automatically escalated to the highest priority level</v>
      </c>
      <c r="E145" s="174" t="b">
        <f>IF(Questions!$K145&gt;20,TRUE,FALSE)</f>
        <v>1</v>
      </c>
      <c r="F145" s="174" t="s">
        <v>2833</v>
      </c>
      <c r="G145" s="171" t="s">
        <v>92</v>
      </c>
      <c r="H145" s="176">
        <v>1.0</v>
      </c>
      <c r="I145" s="164" t="str">
        <f>VLOOKUP(B145,HECVAT!A:E,3,FALSE)</f>
        <v>Yes</v>
      </c>
      <c r="J145" s="164">
        <f>IF(Questions!$G145=Questions!$I145,1,0)</f>
        <v>1</v>
      </c>
      <c r="K145" s="164">
        <v>25.0</v>
      </c>
      <c r="L145" s="164">
        <f>IF(Questions!$H145=1,J145*K145,"")</f>
        <v>25</v>
      </c>
      <c r="M145" s="180" t="str">
        <f>VLOOKUP($B145,'Standards Crosswalk'!$A:$H,3,FALSE)</f>
        <v>CSC 10</v>
      </c>
      <c r="N145" s="180" t="str">
        <f>VLOOKUP($B145,'Standards Crosswalk'!$A:$H,4,FALSE)</f>
        <v/>
      </c>
      <c r="O145" s="180" t="str">
        <f>VLOOKUP($B145,'Standards Crosswalk'!$A:$H,5,FALSE)</f>
        <v/>
      </c>
      <c r="P145" s="180" t="str">
        <f>VLOOKUP($B145,'Standards Crosswalk'!$A:$H,6,FALSE)</f>
        <v>PR.IP-9</v>
      </c>
      <c r="Q145" s="180" t="str">
        <f>VLOOKUP($B145,'Standards Crosswalk'!$A:$H,7,FALSE)</f>
        <v>3.12.2</v>
      </c>
      <c r="R145" s="180" t="str">
        <f>VLOOKUP($B145,'Standards Crosswalk'!$A:$H,8,FALSE)</f>
        <v>AC-5, CP-4, CP-10; NIST SP 800-34</v>
      </c>
      <c r="S145" s="180">
        <f>VLOOKUP($B145,'Standards Crosswalk'!$A:$I,9,FALSE)</f>
        <v>12.8</v>
      </c>
      <c r="T145" s="164"/>
      <c r="U145" s="164"/>
      <c r="V145" s="164"/>
      <c r="W145" s="164"/>
      <c r="X145" s="164"/>
      <c r="Y145" s="164"/>
      <c r="Z145" s="164"/>
    </row>
    <row r="146" ht="13.5" customHeight="1">
      <c r="A146" s="164">
        <f t="shared" si="3"/>
        <v>144</v>
      </c>
      <c r="B146" s="171" t="s">
        <v>672</v>
      </c>
      <c r="C146" s="164" t="str">
        <f>VLOOKUP(B146,HECVAT!A:E,2,FALSE)</f>
        <v>Is there a documented communication plan in your DRP for impacted clients?</v>
      </c>
      <c r="D146" s="212" t="str">
        <f>VLOOKUP(B146,HECVAT!A:E,4,FALSE)</f>
        <v>We will communicate to clients within 48 hours indicating issues, and resolution status</v>
      </c>
      <c r="E146" s="174" t="b">
        <f>IF(Questions!$K146&gt;20,TRUE,FALSE)</f>
        <v>0</v>
      </c>
      <c r="F146" s="174" t="s">
        <v>2833</v>
      </c>
      <c r="G146" s="171" t="s">
        <v>92</v>
      </c>
      <c r="H146" s="176">
        <v>1.0</v>
      </c>
      <c r="I146" s="164" t="str">
        <f>VLOOKUP(B146,HECVAT!A:E,3,FALSE)</f>
        <v>Yes</v>
      </c>
      <c r="J146" s="164">
        <f>IF(Questions!$G146=Questions!$I146,1,0)</f>
        <v>1</v>
      </c>
      <c r="K146" s="164">
        <f>IF(Questions!$H146=1,20,"")</f>
        <v>20</v>
      </c>
      <c r="L146" s="164">
        <f>IF(Questions!$H146=1,J146*K146,"")</f>
        <v>20</v>
      </c>
      <c r="M146" s="180" t="str">
        <f>VLOOKUP($B146,'Standards Crosswalk'!$A:$H,3,FALSE)</f>
        <v>CSC 10</v>
      </c>
      <c r="N146" s="180" t="str">
        <f>VLOOKUP($B146,'Standards Crosswalk'!$A:$H,4,FALSE)</f>
        <v/>
      </c>
      <c r="O146" s="180" t="str">
        <f>VLOOKUP($B146,'Standards Crosswalk'!$A:$H,5,FALSE)</f>
        <v>17.1.2</v>
      </c>
      <c r="P146" s="180" t="str">
        <f>VLOOKUP($B146,'Standards Crosswalk'!$A:$H,6,FALSE)</f>
        <v>PR.IP-9</v>
      </c>
      <c r="Q146" s="180" t="str">
        <f>VLOOKUP($B146,'Standards Crosswalk'!$A:$H,7,FALSE)</f>
        <v>3.12.2</v>
      </c>
      <c r="R146" s="180" t="str">
        <f>VLOOKUP($B146,'Standards Crosswalk'!$A:$H,8,FALSE)</f>
        <v>AC-5, CP-4, CP-10; NIST SP 800-34</v>
      </c>
      <c r="S146" s="180">
        <f>VLOOKUP($B146,'Standards Crosswalk'!$A:$I,9,FALSE)</f>
        <v>12.8</v>
      </c>
      <c r="T146" s="164"/>
      <c r="U146" s="164"/>
      <c r="V146" s="164"/>
      <c r="W146" s="164"/>
      <c r="X146" s="164"/>
      <c r="Y146" s="164"/>
      <c r="Z146" s="164"/>
    </row>
    <row r="147" ht="13.5" customHeight="1">
      <c r="A147" s="164">
        <f t="shared" si="3"/>
        <v>145</v>
      </c>
      <c r="B147" s="171" t="s">
        <v>674</v>
      </c>
      <c r="C147" s="164" t="str">
        <f>VLOOKUP(B147,HECVAT!A:E,2,FALSE)</f>
        <v>Describe or provide a reference to how your disaster recovery plan is tested? (i.e. scope of DR tests, end-to-end testing, etc.)</v>
      </c>
      <c r="D147" s="164" t="str">
        <f>VLOOKUP(B147,HECVAT!A:E,4,FALSE)</f>
        <v/>
      </c>
      <c r="E147" s="174" t="b">
        <f>IF(Questions!$K147&gt;20,TRUE,FALSE)</f>
        <v>0</v>
      </c>
      <c r="F147" s="174" t="s">
        <v>2833</v>
      </c>
      <c r="G147" s="171" t="s">
        <v>92</v>
      </c>
      <c r="H147" s="176">
        <v>1.0</v>
      </c>
      <c r="I147" s="164" t="str">
        <f>VLOOKUP(B147,HECVAT!A:E,3,FALSE)</f>
        <v>End-to-end testing, quarterly</v>
      </c>
      <c r="J147" s="164">
        <f>IF(VLOOKUP(Questions!$B147,'Analyst Report'!$A$38:$G$85,7,FALSE)="Yes",1,0)</f>
        <v>0</v>
      </c>
      <c r="K147" s="164">
        <f>IF(Questions!$H147=1,20,"")</f>
        <v>20</v>
      </c>
      <c r="L147" s="164">
        <f>IF(Questions!$H147=1,J147*K147,"")</f>
        <v>0</v>
      </c>
      <c r="M147" s="180" t="str">
        <f>VLOOKUP($B147,'Standards Crosswalk'!$A:$H,3,FALSE)</f>
        <v>CSC 10</v>
      </c>
      <c r="N147" s="180" t="str">
        <f>VLOOKUP($B147,'Standards Crosswalk'!$A:$H,4,FALSE)</f>
        <v/>
      </c>
      <c r="O147" s="180" t="str">
        <f>VLOOKUP($B147,'Standards Crosswalk'!$A:$H,5,FALSE)</f>
        <v>17.1.3</v>
      </c>
      <c r="P147" s="180" t="str">
        <f>VLOOKUP($B147,'Standards Crosswalk'!$A:$H,6,FALSE)</f>
        <v>PR.IP-9</v>
      </c>
      <c r="Q147" s="180" t="str">
        <f>VLOOKUP($B147,'Standards Crosswalk'!$A:$H,7,FALSE)</f>
        <v>3.12.2</v>
      </c>
      <c r="R147" s="180" t="str">
        <f>VLOOKUP($B147,'Standards Crosswalk'!$A:$H,8,FALSE)</f>
        <v>AC-5, CP-4, CP-10; NIST SP 800-34</v>
      </c>
      <c r="S147" s="180" t="str">
        <f>VLOOKUP($B147,'Standards Crosswalk'!$A:$I,9,FALSE)</f>
        <v/>
      </c>
      <c r="T147" s="164"/>
      <c r="U147" s="164"/>
      <c r="V147" s="164"/>
      <c r="W147" s="164"/>
      <c r="X147" s="164"/>
      <c r="Y147" s="164"/>
      <c r="Z147" s="164"/>
    </row>
    <row r="148" ht="13.5" customHeight="1">
      <c r="A148" s="164">
        <f t="shared" si="3"/>
        <v>146</v>
      </c>
      <c r="B148" s="171" t="s">
        <v>676</v>
      </c>
      <c r="C148" s="164" t="str">
        <f>VLOOKUP(B148,HECVAT!A:E,2,FALSE)</f>
        <v>Has the Disaster Recovery Plan been tested in the last year?  Please provide a summary of the results in Additional Information (including actual recovery time).</v>
      </c>
      <c r="D148" s="164" t="str">
        <f>VLOOKUP(B148,HECVAT!A:E,4,FALSE)</f>
        <v>DRP was tested in March 2019.  Test was successful;  Recovery time was 9 minutes</v>
      </c>
      <c r="E148" s="174" t="b">
        <f>IF(Questions!$K148&gt;20,TRUE,FALSE)</f>
        <v>0</v>
      </c>
      <c r="F148" s="174" t="s">
        <v>2833</v>
      </c>
      <c r="G148" s="171" t="s">
        <v>92</v>
      </c>
      <c r="H148" s="176">
        <v>1.0</v>
      </c>
      <c r="I148" s="164" t="str">
        <f>VLOOKUP(B148,HECVAT!A:E,3,FALSE)</f>
        <v>Yes</v>
      </c>
      <c r="J148" s="164" t="str">
        <f>IF(VLOOKUP(Questions!$B148,'Analyst Report'!$A$38:$G$85,7,FALSE)="Yes",1,0)</f>
        <v>#N/A</v>
      </c>
      <c r="K148" s="164">
        <f>IF(Questions!$H148=1,20,"")</f>
        <v>20</v>
      </c>
      <c r="L148" s="164" t="str">
        <f>IF(Questions!$H148=1,J148*K148,"")</f>
        <v>#N/A</v>
      </c>
      <c r="M148" s="180" t="str">
        <f>VLOOKUP($B148,'Standards Crosswalk'!$A:$H,3,FALSE)</f>
        <v>CSC 10</v>
      </c>
      <c r="N148" s="180" t="str">
        <f>VLOOKUP($B148,'Standards Crosswalk'!$A:$H,4,FALSE)</f>
        <v/>
      </c>
      <c r="O148" s="180" t="str">
        <f>VLOOKUP($B148,'Standards Crosswalk'!$A:$H,5,FALSE)</f>
        <v>17.1.3</v>
      </c>
      <c r="P148" s="180" t="str">
        <f>VLOOKUP($B148,'Standards Crosswalk'!$A:$H,6,FALSE)</f>
        <v>PR.IP-9</v>
      </c>
      <c r="Q148" s="180" t="str">
        <f>VLOOKUP($B148,'Standards Crosswalk'!$A:$H,7,FALSE)</f>
        <v>3.12.2</v>
      </c>
      <c r="R148" s="180" t="str">
        <f>VLOOKUP($B148,'Standards Crosswalk'!$A:$H,8,FALSE)</f>
        <v>AC-5, CP-4, CP-10; NIST SP 800-34</v>
      </c>
      <c r="S148" s="180" t="str">
        <f>VLOOKUP($B148,'Standards Crosswalk'!$A:$I,9,FALSE)</f>
        <v/>
      </c>
      <c r="T148" s="164"/>
      <c r="U148" s="164"/>
      <c r="V148" s="164"/>
      <c r="W148" s="164"/>
      <c r="X148" s="164"/>
      <c r="Y148" s="164"/>
      <c r="Z148" s="164"/>
    </row>
    <row r="149" ht="13.5" customHeight="1">
      <c r="A149" s="164">
        <f t="shared" si="3"/>
        <v>147</v>
      </c>
      <c r="B149" s="171" t="str">
        <f>IF(I148="Yes","DRPL-11","")</f>
        <v>DRPL-11</v>
      </c>
      <c r="C149" s="164" t="str">
        <f>VLOOKUP(B149,HECVAT!A:E,2,FALSE)</f>
        <v>Do the documented test results identify your organizations actual recovery time capabilities for technology and facilities?</v>
      </c>
      <c r="D149" s="212" t="str">
        <f>VLOOKUP(B149,HECVAT!A:E,4,FALSE)</f>
        <v/>
      </c>
      <c r="E149" s="174" t="b">
        <f>IF(Questions!$K149&gt;20,TRUE,FALSE)</f>
        <v>0</v>
      </c>
      <c r="F149" s="174" t="s">
        <v>2833</v>
      </c>
      <c r="G149" s="171" t="s">
        <v>92</v>
      </c>
      <c r="H149" s="176">
        <f>IF(I148="Yes",1,0)</f>
        <v>1</v>
      </c>
      <c r="I149" s="164" t="str">
        <f>VLOOKUP(B149,HECVAT!A:E,3,FALSE)</f>
        <v>Yes</v>
      </c>
      <c r="J149" s="164">
        <f>IF(Questions!$G149=Questions!$I149,1,0)</f>
        <v>1</v>
      </c>
      <c r="K149" s="164">
        <f>IF(Questions!$H149=1,20,"")</f>
        <v>20</v>
      </c>
      <c r="L149" s="164">
        <f>IF(Questions!$H149=1,J149*K149,"")</f>
        <v>20</v>
      </c>
      <c r="M149" s="180" t="str">
        <f>VLOOKUP($B149,'Standards Crosswalk'!$A:$H,3,FALSE)</f>
        <v>CSC 10</v>
      </c>
      <c r="N149" s="180" t="str">
        <f>VLOOKUP($B149,'Standards Crosswalk'!$A:$H,4,FALSE)</f>
        <v/>
      </c>
      <c r="O149" s="180" t="str">
        <f>VLOOKUP($B149,'Standards Crosswalk'!$A:$H,5,FALSE)</f>
        <v>7.1.3</v>
      </c>
      <c r="P149" s="180" t="str">
        <f>VLOOKUP($B149,'Standards Crosswalk'!$A:$H,6,FALSE)</f>
        <v>PR.IP-9</v>
      </c>
      <c r="Q149" s="180" t="str">
        <f>VLOOKUP($B149,'Standards Crosswalk'!$A:$H,7,FALSE)</f>
        <v/>
      </c>
      <c r="R149" s="180" t="str">
        <f>VLOOKUP($B149,'Standards Crosswalk'!$A:$H,8,FALSE)</f>
        <v>AC-5, CP-4, CP-10; NIST SP 800-34</v>
      </c>
      <c r="S149" s="180">
        <f>VLOOKUP($B149,'Standards Crosswalk'!$A:$I,9,FALSE)</f>
        <v>12.8</v>
      </c>
      <c r="T149" s="164"/>
      <c r="U149" s="164"/>
      <c r="V149" s="164"/>
      <c r="W149" s="164"/>
      <c r="X149" s="164"/>
      <c r="Y149" s="164"/>
      <c r="Z149" s="164"/>
    </row>
    <row r="150" ht="13.5" customHeight="1">
      <c r="A150" s="164">
        <f t="shared" si="3"/>
        <v>148</v>
      </c>
      <c r="B150" s="171" t="s">
        <v>681</v>
      </c>
      <c r="C150" s="164" t="str">
        <f>VLOOKUP(B150,HECVAT!A:E,2,FALSE)</f>
        <v>Are all components of the DRP reviewed at least annually and updated as needed to reflect change? </v>
      </c>
      <c r="D150" s="212" t="str">
        <f>VLOOKUP(B150,HECVAT!A:E,4,FALSE)</f>
        <v>We review and update the DRP quarterly</v>
      </c>
      <c r="E150" s="174" t="b">
        <f>IF(Questions!$K150&gt;20,TRUE,FALSE)</f>
        <v>0</v>
      </c>
      <c r="F150" s="174" t="s">
        <v>2833</v>
      </c>
      <c r="G150" s="171" t="s">
        <v>92</v>
      </c>
      <c r="H150" s="176">
        <v>1.0</v>
      </c>
      <c r="I150" s="164" t="str">
        <f>VLOOKUP(B150,HECVAT!A:E,3,FALSE)</f>
        <v>Yes</v>
      </c>
      <c r="J150" s="164">
        <f>IF(Questions!$G150=Questions!$I150,1,0)</f>
        <v>1</v>
      </c>
      <c r="K150" s="164">
        <f>IF(Questions!$H150=1,20,"")</f>
        <v>20</v>
      </c>
      <c r="L150" s="164">
        <f>IF(Questions!$H150=1,J150*K150,"")</f>
        <v>20</v>
      </c>
      <c r="M150" s="180" t="str">
        <f>VLOOKUP($B150,'Standards Crosswalk'!$A:$H,3,FALSE)</f>
        <v>CSC 10</v>
      </c>
      <c r="N150" s="180" t="str">
        <f>VLOOKUP($B150,'Standards Crosswalk'!$A:$H,4,FALSE)</f>
        <v/>
      </c>
      <c r="O150" s="180" t="str">
        <f>VLOOKUP($B150,'Standards Crosswalk'!$A:$H,5,FALSE)</f>
        <v>17.1.1</v>
      </c>
      <c r="P150" s="180" t="str">
        <f>VLOOKUP($B150,'Standards Crosswalk'!$A:$H,6,FALSE)</f>
        <v>PR.IP-9</v>
      </c>
      <c r="Q150" s="180" t="str">
        <f>VLOOKUP($B150,'Standards Crosswalk'!$A:$H,7,FALSE)</f>
        <v>3.12.2</v>
      </c>
      <c r="R150" s="180" t="str">
        <f>VLOOKUP($B150,'Standards Crosswalk'!$A:$H,8,FALSE)</f>
        <v>AC-5, CP-4, CP-10; NIST SP 800-34</v>
      </c>
      <c r="S150" s="180" t="str">
        <f>VLOOKUP($B150,'Standards Crosswalk'!$A:$I,9,FALSE)</f>
        <v/>
      </c>
      <c r="T150" s="164"/>
      <c r="U150" s="164"/>
      <c r="V150" s="164"/>
      <c r="W150" s="164"/>
      <c r="X150" s="164"/>
      <c r="Y150" s="164"/>
      <c r="Z150" s="164"/>
    </row>
    <row r="151" ht="13.5" customHeight="1">
      <c r="A151" s="164">
        <f t="shared" si="3"/>
        <v>149</v>
      </c>
      <c r="B151" s="171" t="s">
        <v>683</v>
      </c>
      <c r="C151" s="164" t="str">
        <f>VLOOKUP(B151,HECVAT!A:E,2,FALSE)</f>
        <v>Do you carry cyber-risk insurance to protect against unforeseen service outages, data that is lost or stolen, and security incidents?</v>
      </c>
      <c r="D151" s="212" t="str">
        <f>VLOOKUP(B151,HECVAT!A:E,4,FALSE)</f>
        <v>Cyber Risk policy</v>
      </c>
      <c r="E151" s="174" t="b">
        <f>IF(Questions!$K151&gt;20,TRUE,FALSE)</f>
        <v>0</v>
      </c>
      <c r="F151" s="174" t="s">
        <v>2833</v>
      </c>
      <c r="G151" s="171" t="s">
        <v>92</v>
      </c>
      <c r="H151" s="176">
        <v>1.0</v>
      </c>
      <c r="I151" s="164" t="str">
        <f>VLOOKUP(B151,HECVAT!A:E,3,FALSE)</f>
        <v>Yes</v>
      </c>
      <c r="J151" s="164">
        <f>IF(Questions!$G151=Questions!$I151,1,0)</f>
        <v>1</v>
      </c>
      <c r="K151" s="164">
        <f>IF(Questions!$H151=1,20,"")</f>
        <v>20</v>
      </c>
      <c r="L151" s="164">
        <f>IF(Questions!$H151=1,J151*K151,"")</f>
        <v>20</v>
      </c>
      <c r="M151" s="180" t="str">
        <f>VLOOKUP($B151,'Standards Crosswalk'!$A:$H,3,FALSE)</f>
        <v/>
      </c>
      <c r="N151" s="180" t="str">
        <f>VLOOKUP($B151,'Standards Crosswalk'!$A:$H,4,FALSE)</f>
        <v/>
      </c>
      <c r="O151" s="180" t="str">
        <f>VLOOKUP($B151,'Standards Crosswalk'!$A:$H,5,FALSE)</f>
        <v/>
      </c>
      <c r="P151" s="180" t="str">
        <f>VLOOKUP($B151,'Standards Crosswalk'!$A:$H,6,FALSE)</f>
        <v/>
      </c>
      <c r="Q151" s="180" t="str">
        <f>VLOOKUP($B151,'Standards Crosswalk'!$A:$H,7,FALSE)</f>
        <v>3.6.2</v>
      </c>
      <c r="R151" s="180" t="str">
        <f>VLOOKUP($B151,'Standards Crosswalk'!$A:$H,8,FALSE)</f>
        <v>AC-5, CP-4, CP-10; NIST SP 800-34</v>
      </c>
      <c r="S151" s="180">
        <f>VLOOKUP($B151,'Standards Crosswalk'!$A:$I,9,FALSE)</f>
        <v>12.8</v>
      </c>
      <c r="T151" s="164"/>
      <c r="U151" s="164"/>
      <c r="V151" s="164"/>
      <c r="W151" s="164"/>
      <c r="X151" s="164"/>
      <c r="Y151" s="164"/>
      <c r="Z151" s="164"/>
    </row>
    <row r="152" ht="13.5" customHeight="1">
      <c r="A152" s="164">
        <f t="shared" si="3"/>
        <v>150</v>
      </c>
      <c r="B152" s="171" t="s">
        <v>2834</v>
      </c>
      <c r="C152" s="164" t="str">
        <f>VLOOKUP(B152,HECVAT!A:E,2,FALSE)</f>
        <v>#N/A</v>
      </c>
      <c r="D152" s="164" t="str">
        <f>VLOOKUP(B152,HECVAT!A:E,4,FALSE)</f>
        <v>#N/A</v>
      </c>
      <c r="E152" s="174" t="b">
        <f>IF(Questions!$K152&gt;20,TRUE,FALSE)</f>
        <v>0</v>
      </c>
      <c r="F152" s="174" t="s">
        <v>2833</v>
      </c>
      <c r="G152" s="171" t="s">
        <v>92</v>
      </c>
      <c r="H152" s="176">
        <v>1.0</v>
      </c>
      <c r="I152" s="164" t="str">
        <f>VLOOKUP(B152,HECVAT!A:E,3,FALSE)</f>
        <v>#N/A</v>
      </c>
      <c r="J152" s="164" t="str">
        <f>IF(Questions!$G152=Questions!$I152,1,0)</f>
        <v>#N/A</v>
      </c>
      <c r="K152" s="164">
        <f>IF(Questions!$H152=1,20,"")</f>
        <v>20</v>
      </c>
      <c r="L152" s="164" t="str">
        <f>IF(Questions!$H152=1,J152*K152,"")</f>
        <v>#N/A</v>
      </c>
      <c r="M152" s="180" t="str">
        <f>VLOOKUP($B152,'Standards Crosswalk'!$A:$H,3,FALSE)</f>
        <v>#N/A</v>
      </c>
      <c r="N152" s="180" t="str">
        <f>VLOOKUP($B152,'Standards Crosswalk'!$A:$H,4,FALSE)</f>
        <v>#N/A</v>
      </c>
      <c r="O152" s="180" t="str">
        <f>VLOOKUP($B152,'Standards Crosswalk'!$A:$H,5,FALSE)</f>
        <v>#N/A</v>
      </c>
      <c r="P152" s="180" t="str">
        <f>VLOOKUP($B152,'Standards Crosswalk'!$A:$H,6,FALSE)</f>
        <v>#N/A</v>
      </c>
      <c r="Q152" s="180" t="str">
        <f>VLOOKUP($B152,'Standards Crosswalk'!$A:$H,7,FALSE)</f>
        <v>#N/A</v>
      </c>
      <c r="R152" s="180" t="str">
        <f>VLOOKUP($B152,'Standards Crosswalk'!$A:$H,8,FALSE)</f>
        <v>#N/A</v>
      </c>
      <c r="S152" s="180" t="str">
        <f>VLOOKUP($B152,'Standards Crosswalk'!$A:$I,9,FALSE)</f>
        <v>#N/A</v>
      </c>
      <c r="T152" s="164"/>
      <c r="U152" s="164"/>
      <c r="V152" s="164"/>
      <c r="W152" s="164"/>
      <c r="X152" s="164"/>
      <c r="Y152" s="164"/>
      <c r="Z152" s="164"/>
    </row>
    <row r="153" ht="13.5" customHeight="1">
      <c r="A153" s="164">
        <f t="shared" si="3"/>
        <v>151</v>
      </c>
      <c r="B153" s="171" t="s">
        <v>690</v>
      </c>
      <c r="C153" s="164" t="str">
        <f>VLOOKUP(B153,HECVAT!A:E,2,FALSE)</f>
        <v>Are you utilizing a web application firewall (WAF)?</v>
      </c>
      <c r="D153" s="164" t="str">
        <f>VLOOKUP(B153,HECVAT!A:E,4,FALSE)</f>
        <v>Reverse proxy; rules for XSS/SQL Inj.</v>
      </c>
      <c r="E153" s="174" t="b">
        <f>IF(Questions!$K153&gt;20,TRUE,FALSE)</f>
        <v>1</v>
      </c>
      <c r="F153" s="174" t="s">
        <v>2746</v>
      </c>
      <c r="G153" s="171" t="s">
        <v>92</v>
      </c>
      <c r="H153" s="176">
        <v>1.0</v>
      </c>
      <c r="I153" s="164" t="str">
        <f>VLOOKUP(B153,HECVAT!A:E,3,FALSE)</f>
        <v>Yes</v>
      </c>
      <c r="J153" s="164">
        <f>IF(Questions!$G153=Questions!$I153,1,0)</f>
        <v>1</v>
      </c>
      <c r="K153" s="164">
        <v>25.0</v>
      </c>
      <c r="L153" s="164">
        <f>IF(Questions!$H153=1,J153*K153,"")</f>
        <v>25</v>
      </c>
      <c r="M153" s="180" t="str">
        <f>VLOOKUP($B153,'Standards Crosswalk'!$A:$H,3,FALSE)</f>
        <v>CSC 9</v>
      </c>
      <c r="N153" s="180" t="str">
        <f>VLOOKUP($B153,'Standards Crosswalk'!$A:$H,4,FALSE)</f>
        <v/>
      </c>
      <c r="O153" s="180" t="str">
        <f>VLOOKUP($B153,'Standards Crosswalk'!$A:$H,5,FALSE)</f>
        <v>13.1.1</v>
      </c>
      <c r="P153" s="180" t="str">
        <f>VLOOKUP($B153,'Standards Crosswalk'!$A:$H,6,FALSE)</f>
        <v>PR.DS-5</v>
      </c>
      <c r="Q153" s="180" t="str">
        <f>VLOOKUP($B153,'Standards Crosswalk'!$A:$H,7,FALSE)</f>
        <v/>
      </c>
      <c r="R153" s="180" t="str">
        <f>VLOOKUP($B153,'Standards Crosswalk'!$A:$H,8,FALSE)</f>
        <v/>
      </c>
      <c r="S153" s="180">
        <f>VLOOKUP($B153,'Standards Crosswalk'!$A:$I,9,FALSE)</f>
        <v>1.1</v>
      </c>
      <c r="T153" s="164"/>
      <c r="U153" s="164"/>
      <c r="V153" s="164"/>
      <c r="W153" s="164"/>
      <c r="X153" s="164"/>
      <c r="Y153" s="164"/>
      <c r="Z153" s="164"/>
    </row>
    <row r="154" ht="13.5" customHeight="1">
      <c r="A154" s="164">
        <f t="shared" si="3"/>
        <v>152</v>
      </c>
      <c r="B154" s="171" t="s">
        <v>694</v>
      </c>
      <c r="C154" s="164" t="str">
        <f>VLOOKUP(B154,HECVAT!A:E,2,FALSE)</f>
        <v>Are you utilizing a stateful packet inspection (SPI) firewall?</v>
      </c>
      <c r="D154" s="212" t="str">
        <f>VLOOKUP(B154,HECVAT!A:E,4,FALSE)</f>
        <v/>
      </c>
      <c r="E154" s="174" t="b">
        <f>IF(Questions!$K154&gt;20,TRUE,FALSE)</f>
        <v>1</v>
      </c>
      <c r="F154" s="174" t="s">
        <v>2746</v>
      </c>
      <c r="G154" s="171" t="s">
        <v>92</v>
      </c>
      <c r="H154" s="176">
        <v>1.0</v>
      </c>
      <c r="I154" s="164" t="str">
        <f>VLOOKUP(B154,HECVAT!A:E,3,FALSE)</f>
        <v>No</v>
      </c>
      <c r="J154" s="164">
        <f>IF(Questions!$G154=Questions!$I154,1,0)</f>
        <v>0</v>
      </c>
      <c r="K154" s="164">
        <v>25.0</v>
      </c>
      <c r="L154" s="164">
        <f>IF(Questions!$H154=1,J154*K154,"")</f>
        <v>0</v>
      </c>
      <c r="M154" s="180" t="str">
        <f>VLOOKUP($B154,'Standards Crosswalk'!$A:$H,3,FALSE)</f>
        <v>CSC 9</v>
      </c>
      <c r="N154" s="180" t="str">
        <f>VLOOKUP($B154,'Standards Crosswalk'!$A:$H,4,FALSE)</f>
        <v/>
      </c>
      <c r="O154" s="180" t="str">
        <f>VLOOKUP($B154,'Standards Crosswalk'!$A:$H,5,FALSE)</f>
        <v>13.1.1</v>
      </c>
      <c r="P154" s="180" t="str">
        <f>VLOOKUP($B154,'Standards Crosswalk'!$A:$H,6,FALSE)</f>
        <v>PR.DS-5</v>
      </c>
      <c r="Q154" s="180" t="str">
        <f>VLOOKUP($B154,'Standards Crosswalk'!$A:$H,7,FALSE)</f>
        <v/>
      </c>
      <c r="R154" s="180" t="str">
        <f>VLOOKUP($B154,'Standards Crosswalk'!$A:$H,8,FALSE)</f>
        <v/>
      </c>
      <c r="S154" s="180">
        <f>VLOOKUP($B154,'Standards Crosswalk'!$A:$I,9,FALSE)</f>
        <v>1.1</v>
      </c>
      <c r="T154" s="164"/>
      <c r="U154" s="164"/>
      <c r="V154" s="164"/>
      <c r="W154" s="164"/>
      <c r="X154" s="164"/>
      <c r="Y154" s="164"/>
      <c r="Z154" s="164"/>
    </row>
    <row r="155" ht="13.5" customHeight="1">
      <c r="A155" s="164">
        <f t="shared" si="3"/>
        <v>153</v>
      </c>
      <c r="B155" s="171" t="s">
        <v>696</v>
      </c>
      <c r="C155" s="164" t="str">
        <f>VLOOKUP(B155,HECVAT!A:E,2,FALSE)</f>
        <v>State and describe who has the authority to change firewall rules?</v>
      </c>
      <c r="D155" s="164" t="str">
        <f>VLOOKUP(B155,HECVAT!A:E,4,FALSE)</f>
        <v/>
      </c>
      <c r="E155" s="174" t="b">
        <f>IF(Questions!$K155&gt;20,TRUE,FALSE)</f>
        <v>0</v>
      </c>
      <c r="F155" s="174" t="s">
        <v>2746</v>
      </c>
      <c r="G155" s="171" t="s">
        <v>92</v>
      </c>
      <c r="H155" s="176">
        <v>1.0</v>
      </c>
      <c r="I155" s="164" t="str">
        <f>VLOOKUP(B155,HECVAT!A:E,3,FALSE)</f>
        <v>CTO/Sys Admin</v>
      </c>
      <c r="J155" s="164">
        <f>IF(VLOOKUP(Questions!$B155,'Analyst Report'!$A$38:$G$85,7,FALSE)="Yes",1,0)</f>
        <v>0</v>
      </c>
      <c r="K155" s="164">
        <f>IF(Questions!$H155=1,20,"")</f>
        <v>20</v>
      </c>
      <c r="L155" s="164">
        <f>IF(Questions!$H155=1,J155*K155,"")</f>
        <v>0</v>
      </c>
      <c r="M155" s="180" t="str">
        <f>VLOOKUP($B155,'Standards Crosswalk'!$A:$H,3,FALSE)</f>
        <v>CSC 9</v>
      </c>
      <c r="N155" s="180" t="str">
        <f>VLOOKUP($B155,'Standards Crosswalk'!$A:$H,4,FALSE)</f>
        <v/>
      </c>
      <c r="O155" s="180" t="str">
        <f>VLOOKUP($B155,'Standards Crosswalk'!$A:$H,5,FALSE)</f>
        <v>13</v>
      </c>
      <c r="P155" s="180" t="str">
        <f>VLOOKUP($B155,'Standards Crosswalk'!$A:$H,6,FALSE)</f>
        <v>PR.AC-5</v>
      </c>
      <c r="Q155" s="180" t="str">
        <f>VLOOKUP($B155,'Standards Crosswalk'!$A:$H,7,FALSE)</f>
        <v/>
      </c>
      <c r="R155" s="180" t="str">
        <f>VLOOKUP($B155,'Standards Crosswalk'!$A:$H,8,FALSE)</f>
        <v/>
      </c>
      <c r="S155" s="180">
        <f>VLOOKUP($B155,'Standards Crosswalk'!$A:$I,9,FALSE)</f>
        <v>1.1</v>
      </c>
      <c r="T155" s="164"/>
      <c r="U155" s="164"/>
      <c r="V155" s="164"/>
      <c r="W155" s="164"/>
      <c r="X155" s="164"/>
      <c r="Y155" s="164"/>
      <c r="Z155" s="164"/>
    </row>
    <row r="156" ht="13.5" customHeight="1">
      <c r="A156" s="164">
        <f t="shared" si="3"/>
        <v>154</v>
      </c>
      <c r="B156" s="171" t="s">
        <v>699</v>
      </c>
      <c r="C156" s="164" t="str">
        <f>VLOOKUP(B156,HECVAT!A:E,2,FALSE)</f>
        <v>Do you have a documented policy for firewall change requests?</v>
      </c>
      <c r="D156" s="212" t="str">
        <f>VLOOKUP(B156,HECVAT!A:E,4,FALSE)</f>
        <v>(1) Form is provided 
(2) Upon receipt of form, request is evaluated 
(3) request approved or denied 
(4) request implemented or form is resent </v>
      </c>
      <c r="E156" s="174" t="b">
        <f>IF(Questions!$K156&gt;20,TRUE,FALSE)</f>
        <v>1</v>
      </c>
      <c r="F156" s="174" t="s">
        <v>2746</v>
      </c>
      <c r="G156" s="171" t="s">
        <v>92</v>
      </c>
      <c r="H156" s="176">
        <v>1.0</v>
      </c>
      <c r="I156" s="164" t="str">
        <f>VLOOKUP(B156,HECVAT!A:E,3,FALSE)</f>
        <v>Yes</v>
      </c>
      <c r="J156" s="164">
        <f>IF(Questions!$G156=Questions!$I156,1,0)</f>
        <v>1</v>
      </c>
      <c r="K156" s="164">
        <v>25.0</v>
      </c>
      <c r="L156" s="164">
        <f>IF(Questions!$H156=1,J156*K156,"")</f>
        <v>25</v>
      </c>
      <c r="M156" s="180" t="str">
        <f>VLOOKUP($B156,'Standards Crosswalk'!$A:$H,3,FALSE)</f>
        <v>CSC 9</v>
      </c>
      <c r="N156" s="180" t="str">
        <f>VLOOKUP($B156,'Standards Crosswalk'!$A:$H,4,FALSE)</f>
        <v/>
      </c>
      <c r="O156" s="180" t="str">
        <f>VLOOKUP($B156,'Standards Crosswalk'!$A:$H,5,FALSE)</f>
        <v>12.1.2</v>
      </c>
      <c r="P156" s="180" t="str">
        <f>VLOOKUP($B156,'Standards Crosswalk'!$A:$H,6,FALSE)</f>
        <v>PR.AC-5</v>
      </c>
      <c r="Q156" s="180" t="str">
        <f>VLOOKUP($B156,'Standards Crosswalk'!$A:$H,7,FALSE)</f>
        <v/>
      </c>
      <c r="R156" s="180" t="str">
        <f>VLOOKUP($B156,'Standards Crosswalk'!$A:$H,8,FALSE)</f>
        <v/>
      </c>
      <c r="S156" s="180">
        <f>VLOOKUP($B156,'Standards Crosswalk'!$A:$I,9,FALSE)</f>
        <v>1.1</v>
      </c>
      <c r="T156" s="164"/>
      <c r="U156" s="164"/>
      <c r="V156" s="164"/>
      <c r="W156" s="164"/>
      <c r="X156" s="164"/>
      <c r="Y156" s="164"/>
      <c r="Z156" s="164"/>
    </row>
    <row r="157" ht="13.5" customHeight="1">
      <c r="A157" s="164">
        <f t="shared" si="3"/>
        <v>155</v>
      </c>
      <c r="B157" s="171" t="s">
        <v>701</v>
      </c>
      <c r="C157" s="164" t="str">
        <f>VLOOKUP(B157,HECVAT!A:E,2,FALSE)</f>
        <v>Have you implemented an Intrusion Detection System (network-based)?</v>
      </c>
      <c r="D157" s="212" t="str">
        <f>VLOOKUP(B157,HECVAT!A:E,4,FALSE)</f>
        <v>Stackdriver monitoring is used</v>
      </c>
      <c r="E157" s="174" t="b">
        <f>IF(Questions!$K157&gt;20,TRUE,FALSE)</f>
        <v>1</v>
      </c>
      <c r="F157" s="174" t="s">
        <v>2746</v>
      </c>
      <c r="G157" s="171" t="s">
        <v>92</v>
      </c>
      <c r="H157" s="176">
        <v>1.0</v>
      </c>
      <c r="I157" s="164" t="str">
        <f>VLOOKUP(B157,HECVAT!A:E,3,FALSE)</f>
        <v>Yes</v>
      </c>
      <c r="J157" s="164">
        <f>IF(Questions!$G157=Questions!$I157,1,0)</f>
        <v>1</v>
      </c>
      <c r="K157" s="164">
        <v>25.0</v>
      </c>
      <c r="L157" s="164">
        <f>IF(Questions!$H157=1,J157*K157,"")</f>
        <v>25</v>
      </c>
      <c r="M157" s="180" t="str">
        <f>VLOOKUP($B157,'Standards Crosswalk'!$A:$H,3,FALSE)</f>
        <v>CSC 19</v>
      </c>
      <c r="N157" s="180" t="str">
        <f>VLOOKUP($B157,'Standards Crosswalk'!$A:$H,4,FALSE)</f>
        <v/>
      </c>
      <c r="O157" s="180" t="str">
        <f>VLOOKUP($B157,'Standards Crosswalk'!$A:$H,5,FALSE)</f>
        <v>13.1.2</v>
      </c>
      <c r="P157" s="180" t="str">
        <f>VLOOKUP($B157,'Standards Crosswalk'!$A:$H,6,FALSE)</f>
        <v>DE.CM-1</v>
      </c>
      <c r="Q157" s="180" t="str">
        <f>VLOOKUP($B157,'Standards Crosswalk'!$A:$H,7,FALSE)</f>
        <v>3.6.1, 3.14.6, 3.14.7</v>
      </c>
      <c r="R157" s="180" t="str">
        <f>VLOOKUP($B157,'Standards Crosswalk'!$A:$H,8,FALSE)</f>
        <v>IR-2, IR-4, IR-5</v>
      </c>
      <c r="S157" s="180">
        <f>VLOOKUP($B157,'Standards Crosswalk'!$A:$I,9,FALSE)</f>
        <v>11.4</v>
      </c>
      <c r="T157" s="164"/>
      <c r="U157" s="164"/>
      <c r="V157" s="164"/>
      <c r="W157" s="164"/>
      <c r="X157" s="164"/>
      <c r="Y157" s="164"/>
      <c r="Z157" s="164"/>
    </row>
    <row r="158" ht="13.5" customHeight="1">
      <c r="A158" s="164">
        <f t="shared" si="3"/>
        <v>156</v>
      </c>
      <c r="B158" s="171" t="s">
        <v>707</v>
      </c>
      <c r="C158" s="164" t="str">
        <f>VLOOKUP(B158,HECVAT!A:E,2,FALSE)</f>
        <v>Have you implemented an Intrusion Prevention System (network-based)?</v>
      </c>
      <c r="D158" s="212" t="str">
        <f>VLOOKUP(B158,HECVAT!A:E,4,FALSE)</f>
        <v>SNORT</v>
      </c>
      <c r="E158" s="174" t="b">
        <f>IF(Questions!$K158&gt;20,TRUE,FALSE)</f>
        <v>0</v>
      </c>
      <c r="F158" s="174" t="s">
        <v>2746</v>
      </c>
      <c r="G158" s="171" t="s">
        <v>92</v>
      </c>
      <c r="H158" s="176">
        <v>1.0</v>
      </c>
      <c r="I158" s="164" t="str">
        <f>VLOOKUP(B158,HECVAT!A:E,3,FALSE)</f>
        <v>Yes</v>
      </c>
      <c r="J158" s="164">
        <f>IF(Questions!$G158=Questions!$I158,1,0)</f>
        <v>1</v>
      </c>
      <c r="K158" s="164">
        <f>IF(Questions!$H158=1,20,"")</f>
        <v>20</v>
      </c>
      <c r="L158" s="164">
        <f>IF(Questions!$H158=1,J158*K158,"")</f>
        <v>20</v>
      </c>
      <c r="M158" s="180" t="str">
        <f>VLOOKUP($B158,'Standards Crosswalk'!$A:$H,3,FALSE)</f>
        <v>CSC 19</v>
      </c>
      <c r="N158" s="180" t="str">
        <f>VLOOKUP($B158,'Standards Crosswalk'!$A:$H,4,FALSE)</f>
        <v/>
      </c>
      <c r="O158" s="180" t="str">
        <f>VLOOKUP($B158,'Standards Crosswalk'!$A:$H,5,FALSE)</f>
        <v>13.1.2</v>
      </c>
      <c r="P158" s="180" t="str">
        <f>VLOOKUP($B158,'Standards Crosswalk'!$A:$H,6,FALSE)</f>
        <v>DE.CM-1</v>
      </c>
      <c r="Q158" s="180" t="str">
        <f>VLOOKUP($B158,'Standards Crosswalk'!$A:$H,7,FALSE)</f>
        <v>3.6.1, 3.14.6, 3.14.7</v>
      </c>
      <c r="R158" s="180" t="str">
        <f>VLOOKUP($B158,'Standards Crosswalk'!$A:$H,8,FALSE)</f>
        <v>IR-2, IR-4, IR-5</v>
      </c>
      <c r="S158" s="180">
        <f>VLOOKUP($B158,'Standards Crosswalk'!$A:$I,9,FALSE)</f>
        <v>11.4</v>
      </c>
      <c r="T158" s="164"/>
      <c r="U158" s="164"/>
      <c r="V158" s="164"/>
      <c r="W158" s="164"/>
      <c r="X158" s="164"/>
      <c r="Y158" s="164"/>
      <c r="Z158" s="164"/>
    </row>
    <row r="159" ht="13.5" customHeight="1">
      <c r="A159" s="164">
        <f t="shared" si="3"/>
        <v>157</v>
      </c>
      <c r="B159" s="171" t="s">
        <v>709</v>
      </c>
      <c r="C159" s="164" t="str">
        <f>VLOOKUP(B159,HECVAT!A:E,2,FALSE)</f>
        <v>Do you employ host-based intrusion detection?</v>
      </c>
      <c r="D159" s="212" t="str">
        <f>VLOOKUP(B159,HECVAT!A:E,4,FALSE)</f>
        <v/>
      </c>
      <c r="E159" s="174" t="b">
        <f>IF(Questions!$K159&gt;20,TRUE,FALSE)</f>
        <v>1</v>
      </c>
      <c r="F159" s="174" t="s">
        <v>2746</v>
      </c>
      <c r="G159" s="171" t="s">
        <v>92</v>
      </c>
      <c r="H159" s="176">
        <v>1.0</v>
      </c>
      <c r="I159" s="164" t="str">
        <f>VLOOKUP(B159,HECVAT!A:E,3,FALSE)</f>
        <v>No</v>
      </c>
      <c r="J159" s="164">
        <f>IF(Questions!$G159=Questions!$I159,1,0)</f>
        <v>0</v>
      </c>
      <c r="K159" s="164">
        <v>25.0</v>
      </c>
      <c r="L159" s="164">
        <f>IF(Questions!$H159=1,J159*K159,"")</f>
        <v>0</v>
      </c>
      <c r="M159" s="180" t="str">
        <f>VLOOKUP($B159,'Standards Crosswalk'!$A:$H,3,FALSE)</f>
        <v>CSC 19</v>
      </c>
      <c r="N159" s="180" t="str">
        <f>VLOOKUP($B159,'Standards Crosswalk'!$A:$H,4,FALSE)</f>
        <v/>
      </c>
      <c r="O159" s="180" t="str">
        <f>VLOOKUP($B159,'Standards Crosswalk'!$A:$H,5,FALSE)</f>
        <v>13.1.2</v>
      </c>
      <c r="P159" s="180" t="str">
        <f>VLOOKUP($B159,'Standards Crosswalk'!$A:$H,6,FALSE)</f>
        <v>DE.CM-1</v>
      </c>
      <c r="Q159" s="180" t="str">
        <f>VLOOKUP($B159,'Standards Crosswalk'!$A:$H,7,FALSE)</f>
        <v>3.6.1, 3.14.6, 3.14.7</v>
      </c>
      <c r="R159" s="180" t="str">
        <f>VLOOKUP($B159,'Standards Crosswalk'!$A:$H,8,FALSE)</f>
        <v>IR-2, IR-4, IR-5</v>
      </c>
      <c r="S159" s="180">
        <f>VLOOKUP($B159,'Standards Crosswalk'!$A:$I,9,FALSE)</f>
        <v>11.4</v>
      </c>
      <c r="T159" s="164"/>
      <c r="U159" s="164"/>
      <c r="V159" s="164"/>
      <c r="W159" s="164"/>
      <c r="X159" s="164"/>
      <c r="Y159" s="164"/>
      <c r="Z159" s="164"/>
    </row>
    <row r="160" ht="13.5" customHeight="1">
      <c r="A160" s="164">
        <f t="shared" si="3"/>
        <v>158</v>
      </c>
      <c r="B160" s="171" t="s">
        <v>712</v>
      </c>
      <c r="C160" s="164" t="str">
        <f>VLOOKUP(B160,HECVAT!A:E,2,FALSE)</f>
        <v>Do you employ host-based intrusion prevention?</v>
      </c>
      <c r="D160" s="212" t="str">
        <f>VLOOKUP(B160,HECVAT!A:E,4,FALSE)</f>
        <v/>
      </c>
      <c r="E160" s="174" t="b">
        <f>IF(Questions!$K160&gt;20,TRUE,FALSE)</f>
        <v>0</v>
      </c>
      <c r="F160" s="174" t="s">
        <v>2746</v>
      </c>
      <c r="G160" s="171" t="s">
        <v>92</v>
      </c>
      <c r="H160" s="176">
        <v>1.0</v>
      </c>
      <c r="I160" s="164" t="str">
        <f>VLOOKUP(B160,HECVAT!A:E,3,FALSE)</f>
        <v>No</v>
      </c>
      <c r="J160" s="164">
        <f>IF(Questions!$G160=Questions!$I160,1,0)</f>
        <v>0</v>
      </c>
      <c r="K160" s="164">
        <f>IF(Questions!$H160=1,20,"")</f>
        <v>20</v>
      </c>
      <c r="L160" s="164">
        <f>IF(Questions!$H160=1,J160*K160,"")</f>
        <v>0</v>
      </c>
      <c r="M160" s="180" t="str">
        <f>VLOOKUP($B160,'Standards Crosswalk'!$A:$H,3,FALSE)</f>
        <v>CSC 19</v>
      </c>
      <c r="N160" s="180" t="str">
        <f>VLOOKUP($B160,'Standards Crosswalk'!$A:$H,4,FALSE)</f>
        <v/>
      </c>
      <c r="O160" s="180" t="str">
        <f>VLOOKUP($B160,'Standards Crosswalk'!$A:$H,5,FALSE)</f>
        <v>13.1.2</v>
      </c>
      <c r="P160" s="180" t="str">
        <f>VLOOKUP($B160,'Standards Crosswalk'!$A:$H,6,FALSE)</f>
        <v>DE.CM-1</v>
      </c>
      <c r="Q160" s="180" t="str">
        <f>VLOOKUP($B160,'Standards Crosswalk'!$A:$H,7,FALSE)</f>
        <v>3.6.1, 3.14.6, 3.14.7</v>
      </c>
      <c r="R160" s="180" t="str">
        <f>VLOOKUP($B160,'Standards Crosswalk'!$A:$H,8,FALSE)</f>
        <v>IR-2, IR-4, IR-5</v>
      </c>
      <c r="S160" s="180">
        <f>VLOOKUP($B160,'Standards Crosswalk'!$A:$I,9,FALSE)</f>
        <v>11.4</v>
      </c>
      <c r="T160" s="164"/>
      <c r="U160" s="164"/>
      <c r="V160" s="164"/>
      <c r="W160" s="164"/>
      <c r="X160" s="164"/>
      <c r="Y160" s="164"/>
      <c r="Z160" s="164"/>
    </row>
    <row r="161" ht="13.5" customHeight="1">
      <c r="A161" s="164">
        <f t="shared" si="3"/>
        <v>159</v>
      </c>
      <c r="B161" s="171" t="s">
        <v>714</v>
      </c>
      <c r="C161" s="164" t="str">
        <f>VLOOKUP(B161,HECVAT!A:E,2,FALSE)</f>
        <v>Are you employing any next-generation persistent threat (NGPT) monitoring?</v>
      </c>
      <c r="D161" s="164" t="str">
        <f>VLOOKUP(B161,HECVAT!A:E,4,FALSE)</f>
        <v/>
      </c>
      <c r="E161" s="174" t="b">
        <f>IF(Questions!$K161&gt;20,TRUE,FALSE)</f>
        <v>0</v>
      </c>
      <c r="F161" s="174" t="s">
        <v>2746</v>
      </c>
      <c r="G161" s="171" t="s">
        <v>92</v>
      </c>
      <c r="H161" s="176">
        <v>1.0</v>
      </c>
      <c r="I161" s="164" t="str">
        <f>VLOOKUP(B161,HECVAT!A:E,3,FALSE)</f>
        <v>No</v>
      </c>
      <c r="J161" s="164">
        <f>IF(Questions!$G161=Questions!$I161,1,0)</f>
        <v>0</v>
      </c>
      <c r="K161" s="164">
        <f>IF(Questions!$H161=1,20,"")</f>
        <v>20</v>
      </c>
      <c r="L161" s="164">
        <f>IF(Questions!$H161=1,J161*K161,"")</f>
        <v>0</v>
      </c>
      <c r="M161" s="180" t="str">
        <f>VLOOKUP($B161,'Standards Crosswalk'!$A:$H,3,FALSE)</f>
        <v>CSC 19</v>
      </c>
      <c r="N161" s="180" t="str">
        <f>VLOOKUP($B161,'Standards Crosswalk'!$A:$H,4,FALSE)</f>
        <v/>
      </c>
      <c r="O161" s="180" t="str">
        <f>VLOOKUP($B161,'Standards Crosswalk'!$A:$H,5,FALSE)</f>
        <v>12.4.1</v>
      </c>
      <c r="P161" s="180" t="str">
        <f>VLOOKUP($B161,'Standards Crosswalk'!$A:$H,6,FALSE)</f>
        <v/>
      </c>
      <c r="Q161" s="180" t="str">
        <f>VLOOKUP($B161,'Standards Crosswalk'!$A:$H,7,FALSE)</f>
        <v>3.6.1, 3.14.6, 3.14.7</v>
      </c>
      <c r="R161" s="180" t="str">
        <f>VLOOKUP($B161,'Standards Crosswalk'!$A:$H,8,FALSE)</f>
        <v>IR-2, IR-4, IR-5</v>
      </c>
      <c r="S161" s="180">
        <f>VLOOKUP($B161,'Standards Crosswalk'!$A:$I,9,FALSE)</f>
        <v>11.5</v>
      </c>
      <c r="T161" s="164"/>
      <c r="U161" s="164"/>
      <c r="V161" s="164"/>
      <c r="W161" s="164"/>
      <c r="X161" s="164"/>
      <c r="Y161" s="164"/>
      <c r="Z161" s="164"/>
    </row>
    <row r="162" ht="13.5" customHeight="1">
      <c r="A162" s="164">
        <f t="shared" si="3"/>
        <v>160</v>
      </c>
      <c r="B162" s="171" t="s">
        <v>717</v>
      </c>
      <c r="C162" s="164" t="str">
        <f>VLOOKUP(B162,HECVAT!A:E,2,FALSE)</f>
        <v>Do you monitor for intrusions on a 24x7x365 basis?</v>
      </c>
      <c r="D162" s="212" t="str">
        <f>VLOOKUP(B162,HECVAT!A:E,4,FALSE)</f>
        <v/>
      </c>
      <c r="E162" s="174" t="b">
        <f>IF(Questions!$K162&gt;20,TRUE,FALSE)</f>
        <v>0</v>
      </c>
      <c r="F162" s="174" t="s">
        <v>2746</v>
      </c>
      <c r="G162" s="171" t="s">
        <v>92</v>
      </c>
      <c r="H162" s="176">
        <v>1.0</v>
      </c>
      <c r="I162" s="164" t="str">
        <f>VLOOKUP(B162,HECVAT!A:E,3,FALSE)</f>
        <v>Yes</v>
      </c>
      <c r="J162" s="164">
        <f>IF(Questions!$G162=Questions!$I162,1,0)</f>
        <v>1</v>
      </c>
      <c r="K162" s="164">
        <f>IF(Questions!$H162=1,15,"")</f>
        <v>15</v>
      </c>
      <c r="L162" s="164">
        <f>IF(Questions!$H162=1,J162*K162,"")</f>
        <v>15</v>
      </c>
      <c r="M162" s="180" t="str">
        <f>VLOOKUP($B162,'Standards Crosswalk'!$A:$H,3,FALSE)</f>
        <v>CSC 19</v>
      </c>
      <c r="N162" s="180" t="str">
        <f>VLOOKUP($B162,'Standards Crosswalk'!$A:$H,4,FALSE)</f>
        <v/>
      </c>
      <c r="O162" s="180" t="str">
        <f>VLOOKUP($B162,'Standards Crosswalk'!$A:$H,5,FALSE)</f>
        <v>12.4.1</v>
      </c>
      <c r="P162" s="180" t="str">
        <f>VLOOKUP($B162,'Standards Crosswalk'!$A:$H,6,FALSE)</f>
        <v>DE.CM-1, DE.CM-2, DE.CM-7</v>
      </c>
      <c r="Q162" s="180" t="str">
        <f>VLOOKUP($B162,'Standards Crosswalk'!$A:$H,7,FALSE)</f>
        <v>3.6.1, 3.14.6, 3.14.7</v>
      </c>
      <c r="R162" s="180" t="str">
        <f>VLOOKUP($B162,'Standards Crosswalk'!$A:$H,8,FALSE)</f>
        <v>IR-2, IR-4, IR-5</v>
      </c>
      <c r="S162" s="180">
        <f>VLOOKUP($B162,'Standards Crosswalk'!$A:$I,9,FALSE)</f>
        <v>11.4</v>
      </c>
      <c r="T162" s="164"/>
      <c r="U162" s="164"/>
      <c r="V162" s="164"/>
      <c r="W162" s="164"/>
      <c r="X162" s="164"/>
      <c r="Y162" s="164"/>
      <c r="Z162" s="164"/>
    </row>
    <row r="163" ht="13.5" customHeight="1">
      <c r="A163" s="164">
        <f t="shared" si="3"/>
        <v>161</v>
      </c>
      <c r="B163" s="171" t="str">
        <f>IF(I134="Yes","FIDP-11","")</f>
        <v>FIDP-11</v>
      </c>
      <c r="C163" s="164" t="str">
        <f>VLOOKUP(B163,HECVAT!A:E,2,FALSE)</f>
        <v>Is intrusion monitoring performed internally or by a third-party service?</v>
      </c>
      <c r="D163" s="164" t="str">
        <f>VLOOKUP(B163,HECVAT!A:E,4,FALSE)</f>
        <v/>
      </c>
      <c r="E163" s="174" t="b">
        <f>IF(Questions!$K163&gt;20,TRUE,FALSE)</f>
        <v>0</v>
      </c>
      <c r="F163" s="174" t="s">
        <v>2746</v>
      </c>
      <c r="G163" s="171" t="s">
        <v>92</v>
      </c>
      <c r="H163" s="176">
        <f>IF(I162="Yes",1,0)</f>
        <v>1</v>
      </c>
      <c r="I163" s="164" t="str">
        <f>VLOOKUP(B163,HECVAT!A:E,3,FALSE)</f>
        <v>Internally</v>
      </c>
      <c r="J163" s="164">
        <f>IF(VLOOKUP(Questions!$B163,'Analyst Report'!$A$38:$G$85,7,FALSE)="Yes",1,0)</f>
        <v>0</v>
      </c>
      <c r="K163" s="164">
        <f>IF(Questions!$H163=1,20,"")</f>
        <v>20</v>
      </c>
      <c r="L163" s="164">
        <f>IF(Questions!$H163=1,J163*K163,"")</f>
        <v>0</v>
      </c>
      <c r="M163" s="180" t="str">
        <f>VLOOKUP($B163,'Standards Crosswalk'!$A:$H,3,FALSE)</f>
        <v>CSC 6, CSC 19</v>
      </c>
      <c r="N163" s="180" t="str">
        <f>VLOOKUP($B163,'Standards Crosswalk'!$A:$H,4,FALSE)</f>
        <v/>
      </c>
      <c r="O163" s="180" t="str">
        <f>VLOOKUP($B163,'Standards Crosswalk'!$A:$H,5,FALSE)</f>
        <v>12.4.1</v>
      </c>
      <c r="P163" s="180" t="str">
        <f>VLOOKUP($B163,'Standards Crosswalk'!$A:$H,6,FALSE)</f>
        <v>DE.CM-1, DE.CM-2, DE.CM-7</v>
      </c>
      <c r="Q163" s="180" t="str">
        <f>VLOOKUP($B163,'Standards Crosswalk'!$A:$H,7,FALSE)</f>
        <v>3.6.1, 3.14.6, 3.14.7</v>
      </c>
      <c r="R163" s="180" t="str">
        <f>VLOOKUP($B163,'Standards Crosswalk'!$A:$H,8,FALSE)</f>
        <v>IR-2, IR-4, IR-5</v>
      </c>
      <c r="S163" s="180" t="str">
        <f>VLOOKUP($B163,'Standards Crosswalk'!$A:$I,9,FALSE)</f>
        <v>11.4, 12.8</v>
      </c>
      <c r="T163" s="164"/>
      <c r="U163" s="164"/>
      <c r="V163" s="164"/>
      <c r="W163" s="164"/>
      <c r="X163" s="164"/>
      <c r="Y163" s="164"/>
      <c r="Z163" s="164"/>
    </row>
    <row r="164" ht="13.5" customHeight="1">
      <c r="A164" s="164">
        <f t="shared" si="3"/>
        <v>162</v>
      </c>
      <c r="B164" s="171" t="s">
        <v>724</v>
      </c>
      <c r="C164" s="164" t="str">
        <f>VLOOKUP(B164,HECVAT!A:E,2,FALSE)</f>
        <v>Are audit logs available for all changes to the network, firewall, IDS, and IPS systems?</v>
      </c>
      <c r="D164" s="212" t="str">
        <f>VLOOKUP(B164,HECVAT!A:E,4,FALSE)</f>
        <v>All network changes, IP Address or firewall configuration changes are maintained in audit report</v>
      </c>
      <c r="E164" s="174" t="b">
        <f>IF(Questions!$K164&gt;20,TRUE,FALSE)</f>
        <v>1</v>
      </c>
      <c r="F164" s="174" t="s">
        <v>2746</v>
      </c>
      <c r="G164" s="171" t="s">
        <v>92</v>
      </c>
      <c r="H164" s="176">
        <v>1.0</v>
      </c>
      <c r="I164" s="164" t="str">
        <f>VLOOKUP(B164,HECVAT!A:E,3,FALSE)</f>
        <v>Yes</v>
      </c>
      <c r="J164" s="164">
        <f>IF(Questions!$G164=Questions!$I164,1,0)</f>
        <v>1</v>
      </c>
      <c r="K164" s="164">
        <f>IF(Questions!$H164=1,25,"")</f>
        <v>25</v>
      </c>
      <c r="L164" s="164">
        <f>IF(Questions!$H164=1,J164*K164,"")</f>
        <v>25</v>
      </c>
      <c r="M164" s="180" t="str">
        <f>VLOOKUP($B164,'Standards Crosswalk'!$A:$H,3,FALSE)</f>
        <v>CSC 6</v>
      </c>
      <c r="N164" s="180" t="str">
        <f>VLOOKUP($B164,'Standards Crosswalk'!$A:$H,4,FALSE)</f>
        <v/>
      </c>
      <c r="O164" s="180" t="str">
        <f>VLOOKUP($B164,'Standards Crosswalk'!$A:$H,5,FALSE)</f>
        <v>12.4.1</v>
      </c>
      <c r="P164" s="180" t="str">
        <f>VLOOKUP($B164,'Standards Crosswalk'!$A:$H,6,FALSE)</f>
        <v>DE.AE-1, DE.CM-1, PR.PT-4</v>
      </c>
      <c r="Q164" s="180" t="str">
        <f>VLOOKUP($B164,'Standards Crosswalk'!$A:$H,7,FALSE)</f>
        <v>3.3.1</v>
      </c>
      <c r="R164" s="180" t="str">
        <f>VLOOKUP($B164,'Standards Crosswalk'!$A:$H,8,FALSE)</f>
        <v>AU-2</v>
      </c>
      <c r="S164" s="180" t="str">
        <f>VLOOKUP($B164,'Standards Crosswalk'!$A:$I,9,FALSE)</f>
        <v>1.1, 10.8, 10.6, 10.3, 10.2, 11.4</v>
      </c>
      <c r="T164" s="164"/>
      <c r="U164" s="164"/>
      <c r="V164" s="164"/>
      <c r="W164" s="164"/>
      <c r="X164" s="164"/>
      <c r="Y164" s="164"/>
      <c r="Z164" s="164"/>
    </row>
    <row r="165" ht="13.5" customHeight="1">
      <c r="A165" s="164">
        <f t="shared" si="3"/>
        <v>163</v>
      </c>
      <c r="B165" s="171" t="s">
        <v>736</v>
      </c>
      <c r="C165" s="164" t="str">
        <f>VLOOKUP(B165,HECVAT!A:E,2,FALSE)</f>
        <v>On which mobile operating systems is your software or service supported?</v>
      </c>
      <c r="D165" s="164" t="str">
        <f>VLOOKUP(B165,HECVAT!A:E,4,FALSE)</f>
        <v/>
      </c>
      <c r="E165" s="174" t="b">
        <f>IF(Questions!$K165&gt;20,TRUE,FALSE)</f>
        <v>0</v>
      </c>
      <c r="F165" s="174" t="s">
        <v>2835</v>
      </c>
      <c r="G165" s="171" t="s">
        <v>92</v>
      </c>
      <c r="H165" s="176">
        <v>1.0</v>
      </c>
      <c r="I165" s="164" t="str">
        <f>VLOOKUP(B165,HECVAT!A:E,3,FALSE)</f>
        <v/>
      </c>
      <c r="J165" s="164">
        <f>IF(VLOOKUP(Questions!$B165,'Analyst Report'!$A$38:$G$85,7,FALSE)="Yes",1,0)</f>
        <v>0</v>
      </c>
      <c r="K165" s="164">
        <f>IF(Questions!$H165=1,15,"")</f>
        <v>15</v>
      </c>
      <c r="L165" s="164">
        <f>IF(Questions!$H165=1,J165*K165,"")</f>
        <v>0</v>
      </c>
      <c r="M165" s="180" t="str">
        <f>VLOOKUP($B165,'Standards Crosswalk'!$A:$H,3,FALSE)</f>
        <v>CSC 18</v>
      </c>
      <c r="N165" s="180" t="str">
        <f>VLOOKUP($B165,'Standards Crosswalk'!$A:$H,4,FALSE)</f>
        <v/>
      </c>
      <c r="O165" s="180" t="str">
        <f>VLOOKUP($B165,'Standards Crosswalk'!$A:$H,5,FALSE)</f>
        <v/>
      </c>
      <c r="P165" s="180" t="str">
        <f>VLOOKUP($B165,'Standards Crosswalk'!$A:$H,6,FALSE)</f>
        <v/>
      </c>
      <c r="Q165" s="180" t="str">
        <f>VLOOKUP($B165,'Standards Crosswalk'!$A:$H,7,FALSE)</f>
        <v/>
      </c>
      <c r="R165" s="180" t="str">
        <f>VLOOKUP($B165,'Standards Crosswalk'!$A:$H,8,FALSE)</f>
        <v/>
      </c>
      <c r="S165" s="180" t="str">
        <f>VLOOKUP($B165,'Standards Crosswalk'!$A:$I,9,FALSE)</f>
        <v/>
      </c>
      <c r="T165" s="164"/>
      <c r="U165" s="164"/>
      <c r="V165" s="164"/>
      <c r="W165" s="164"/>
      <c r="X165" s="164"/>
      <c r="Y165" s="164"/>
      <c r="Z165" s="164"/>
    </row>
    <row r="166" ht="13.5" customHeight="1">
      <c r="A166" s="164">
        <f t="shared" si="3"/>
        <v>164</v>
      </c>
      <c r="B166" s="171" t="s">
        <v>739</v>
      </c>
      <c r="C166" s="164" t="str">
        <f>VLOOKUP(B166,HECVAT!A:E,2,FALSE)</f>
        <v>Describe or provide a reference to the application's architecture and functionality.</v>
      </c>
      <c r="D166" s="164" t="str">
        <f>VLOOKUP(B166,HECVAT!A:E,4,FALSE)</f>
        <v/>
      </c>
      <c r="E166" s="174" t="b">
        <f>IF(Questions!$K166&gt;20,TRUE,FALSE)</f>
        <v>0</v>
      </c>
      <c r="F166" s="174" t="s">
        <v>2835</v>
      </c>
      <c r="G166" s="171" t="s">
        <v>92</v>
      </c>
      <c r="H166" s="176">
        <v>1.0</v>
      </c>
      <c r="I166" s="164" t="str">
        <f>VLOOKUP(B166,HECVAT!A:E,3,FALSE)</f>
        <v/>
      </c>
      <c r="J166" s="164">
        <f>IF(VLOOKUP(Questions!$B166,'Analyst Report'!$A$38:$G$85,7,FALSE)="Yes",1,0)</f>
        <v>0</v>
      </c>
      <c r="K166" s="164">
        <f>IF(Questions!$H166=1,20,"")</f>
        <v>20</v>
      </c>
      <c r="L166" s="164">
        <f>IF(Questions!$H166=1,J166*K166,"")</f>
        <v>0</v>
      </c>
      <c r="M166" s="180" t="str">
        <f>VLOOKUP($B166,'Standards Crosswalk'!$A:$H,3,FALSE)</f>
        <v>CSC 3</v>
      </c>
      <c r="N166" s="180" t="str">
        <f>VLOOKUP($B166,'Standards Crosswalk'!$A:$H,4,FALSE)</f>
        <v/>
      </c>
      <c r="O166" s="180" t="str">
        <f>VLOOKUP($B166,'Standards Crosswalk'!$A:$H,5,FALSE)</f>
        <v/>
      </c>
      <c r="P166" s="180" t="str">
        <f>VLOOKUP($B166,'Standards Crosswalk'!$A:$H,6,FALSE)</f>
        <v>DE.CM-7</v>
      </c>
      <c r="Q166" s="180" t="str">
        <f>VLOOKUP($B166,'Standards Crosswalk'!$A:$H,7,FALSE)</f>
        <v/>
      </c>
      <c r="R166" s="180" t="str">
        <f>VLOOKUP($B166,'Standards Crosswalk'!$A:$H,8,FALSE)</f>
        <v/>
      </c>
      <c r="S166" s="180" t="str">
        <f>VLOOKUP($B166,'Standards Crosswalk'!$A:$I,9,FALSE)</f>
        <v/>
      </c>
      <c r="T166" s="164"/>
      <c r="U166" s="164"/>
      <c r="V166" s="164"/>
      <c r="W166" s="164"/>
      <c r="X166" s="164"/>
      <c r="Y166" s="164"/>
      <c r="Z166" s="164"/>
    </row>
    <row r="167" ht="13.5" customHeight="1">
      <c r="A167" s="164">
        <f t="shared" si="3"/>
        <v>165</v>
      </c>
      <c r="B167" s="171" t="s">
        <v>742</v>
      </c>
      <c r="C167" s="164" t="str">
        <f>VLOOKUP(B167,HECVAT!A:E,2,FALSE)</f>
        <v>Is the application available from a trusted source (e.g., iTunes App Store, Android Market, BB World)?</v>
      </c>
      <c r="D167" s="212" t="str">
        <f>VLOOKUP(B167,HECVAT!A:E,4,FALSE)</f>
        <v/>
      </c>
      <c r="E167" s="174" t="b">
        <f>IF(Questions!$K167&gt;20,TRUE,FALSE)</f>
        <v>1</v>
      </c>
      <c r="F167" s="174" t="s">
        <v>2835</v>
      </c>
      <c r="G167" s="171" t="s">
        <v>92</v>
      </c>
      <c r="H167" s="176">
        <v>1.0</v>
      </c>
      <c r="I167" s="164" t="str">
        <f>VLOOKUP(B167,HECVAT!A:E,3,FALSE)</f>
        <v/>
      </c>
      <c r="J167" s="164">
        <f>IF(Questions!$G167=Questions!$I167,1,0)</f>
        <v>0</v>
      </c>
      <c r="K167" s="164">
        <f>IF(Questions!$H167=1,25,"")</f>
        <v>25</v>
      </c>
      <c r="L167" s="164">
        <f>IF(Questions!$H167=1,J167*K167,"")</f>
        <v>0</v>
      </c>
      <c r="M167" s="180" t="str">
        <f>VLOOKUP($B167,'Standards Crosswalk'!$A:$H,3,FALSE)</f>
        <v>CSC 18</v>
      </c>
      <c r="N167" s="180" t="str">
        <f>VLOOKUP($B167,'Standards Crosswalk'!$A:$H,4,FALSE)</f>
        <v/>
      </c>
      <c r="O167" s="180" t="str">
        <f>VLOOKUP($B167,'Standards Crosswalk'!$A:$H,5,FALSE)</f>
        <v/>
      </c>
      <c r="P167" s="180" t="str">
        <f>VLOOKUP($B167,'Standards Crosswalk'!$A:$H,6,FALSE)</f>
        <v>DE.CM-7</v>
      </c>
      <c r="Q167" s="180" t="str">
        <f>VLOOKUP($B167,'Standards Crosswalk'!$A:$H,7,FALSE)</f>
        <v/>
      </c>
      <c r="R167" s="180" t="str">
        <f>VLOOKUP($B167,'Standards Crosswalk'!$A:$H,8,FALSE)</f>
        <v/>
      </c>
      <c r="S167" s="180" t="str">
        <f>VLOOKUP($B167,'Standards Crosswalk'!$A:$I,9,FALSE)</f>
        <v/>
      </c>
      <c r="T167" s="164"/>
      <c r="U167" s="164"/>
      <c r="V167" s="164"/>
      <c r="W167" s="164"/>
      <c r="X167" s="164"/>
      <c r="Y167" s="164"/>
      <c r="Z167" s="164"/>
    </row>
    <row r="168" ht="13.5" customHeight="1">
      <c r="A168" s="164">
        <f t="shared" si="3"/>
        <v>166</v>
      </c>
      <c r="B168" s="171" t="s">
        <v>744</v>
      </c>
      <c r="C168" s="164" t="str">
        <f>VLOOKUP(B168,HECVAT!A:E,2,FALSE)</f>
        <v>Does the application store, process, or transmit critical data?</v>
      </c>
      <c r="D168" s="212" t="str">
        <f>VLOOKUP(B168,HECVAT!A:E,4,FALSE)</f>
        <v/>
      </c>
      <c r="E168" s="174" t="b">
        <f>IF(Questions!$K168&gt;20,TRUE,FALSE)</f>
        <v>0</v>
      </c>
      <c r="F168" s="174" t="s">
        <v>2835</v>
      </c>
      <c r="G168" s="171" t="s">
        <v>85</v>
      </c>
      <c r="H168" s="176">
        <v>1.0</v>
      </c>
      <c r="I168" s="164" t="str">
        <f>VLOOKUP(B168,HECVAT!A:E,3,FALSE)</f>
        <v/>
      </c>
      <c r="J168" s="164">
        <f>IF(Questions!$G168=Questions!$I168,1,0)</f>
        <v>0</v>
      </c>
      <c r="K168" s="164">
        <f>IF(Questions!$H168=1,20,"")</f>
        <v>20</v>
      </c>
      <c r="L168" s="164">
        <f>IF(Questions!$H168=1,J168*K168,"")</f>
        <v>0</v>
      </c>
      <c r="M168" s="180" t="str">
        <f>VLOOKUP($B168,'Standards Crosswalk'!$A:$H,3,FALSE)</f>
        <v>CSC 13, CSC 18</v>
      </c>
      <c r="N168" s="180" t="str">
        <f>VLOOKUP($B168,'Standards Crosswalk'!$A:$H,4,FALSE)</f>
        <v/>
      </c>
      <c r="O168" s="180" t="str">
        <f>VLOOKUP($B168,'Standards Crosswalk'!$A:$H,5,FALSE)</f>
        <v>8.2.1; 8.2.3</v>
      </c>
      <c r="P168" s="180" t="str">
        <f>VLOOKUP($B168,'Standards Crosswalk'!$A:$H,6,FALSE)</f>
        <v>DE.CM-7, PR.DS-2</v>
      </c>
      <c r="Q168" s="180" t="str">
        <f>VLOOKUP($B168,'Standards Crosswalk'!$A:$H,7,FALSE)</f>
        <v/>
      </c>
      <c r="R168" s="180" t="str">
        <f>VLOOKUP($B168,'Standards Crosswalk'!$A:$H,8,FALSE)</f>
        <v/>
      </c>
      <c r="S168" s="180" t="str">
        <f>VLOOKUP($B168,'Standards Crosswalk'!$A:$I,9,FALSE)</f>
        <v/>
      </c>
      <c r="T168" s="164"/>
      <c r="U168" s="164"/>
      <c r="V168" s="164"/>
      <c r="W168" s="164"/>
      <c r="X168" s="164"/>
      <c r="Y168" s="164"/>
      <c r="Z168" s="164"/>
    </row>
    <row r="169" ht="13.5" customHeight="1">
      <c r="A169" s="164">
        <f t="shared" si="3"/>
        <v>167</v>
      </c>
      <c r="B169" s="171" t="s">
        <v>749</v>
      </c>
      <c r="C169" s="164" t="str">
        <f>VLOOKUP(B169,HECVAT!A:E,2,FALSE)</f>
        <v>Is Institution's data encrypted in transport?</v>
      </c>
      <c r="D169" s="212" t="str">
        <f>VLOOKUP(B169,HECVAT!A:E,4,FALSE)</f>
        <v/>
      </c>
      <c r="E169" s="174" t="b">
        <f>IF(Questions!$K169&gt;20,TRUE,FALSE)</f>
        <v>1</v>
      </c>
      <c r="F169" s="174" t="s">
        <v>2835</v>
      </c>
      <c r="G169" s="171" t="s">
        <v>92</v>
      </c>
      <c r="H169" s="176">
        <v>1.0</v>
      </c>
      <c r="I169" s="164" t="str">
        <f>VLOOKUP(B169,HECVAT!A:E,3,FALSE)</f>
        <v/>
      </c>
      <c r="J169" s="164">
        <f>IF(Questions!$G169=Questions!$I169,1,0)</f>
        <v>0</v>
      </c>
      <c r="K169" s="164">
        <f>IF(Questions!$H169=1,25,"")</f>
        <v>25</v>
      </c>
      <c r="L169" s="164">
        <f>IF(Questions!$H169=1,J169*K169,"")</f>
        <v>0</v>
      </c>
      <c r="M169" s="180" t="str">
        <f>VLOOKUP($B169,'Standards Crosswalk'!$A:$H,3,FALSE)</f>
        <v>CSC 13</v>
      </c>
      <c r="N169" s="180" t="str">
        <f>VLOOKUP($B169,'Standards Crosswalk'!$A:$H,4,FALSE)</f>
        <v/>
      </c>
      <c r="O169" s="180" t="str">
        <f>VLOOKUP($B169,'Standards Crosswalk'!$A:$H,5,FALSE)</f>
        <v>8.2.3</v>
      </c>
      <c r="P169" s="180" t="str">
        <f>VLOOKUP($B169,'Standards Crosswalk'!$A:$H,6,FALSE)</f>
        <v>DE.CM-7, PR.DS-2</v>
      </c>
      <c r="Q169" s="180" t="str">
        <f>VLOOKUP($B169,'Standards Crosswalk'!$A:$H,7,FALSE)</f>
        <v>3.1.19</v>
      </c>
      <c r="R169" s="180" t="str">
        <f>VLOOKUP($B169,'Standards Crosswalk'!$A:$H,8,FALSE)</f>
        <v>AC-19(5)</v>
      </c>
      <c r="S169" s="180">
        <f>VLOOKUP($B169,'Standards Crosswalk'!$A:$I,9,FALSE)</f>
        <v>4.1</v>
      </c>
      <c r="T169" s="164"/>
      <c r="U169" s="164"/>
      <c r="V169" s="164"/>
      <c r="W169" s="164"/>
      <c r="X169" s="164"/>
      <c r="Y169" s="164"/>
      <c r="Z169" s="164"/>
    </row>
    <row r="170" ht="13.5" customHeight="1">
      <c r="A170" s="164">
        <f t="shared" si="3"/>
        <v>168</v>
      </c>
      <c r="B170" s="171" t="s">
        <v>754</v>
      </c>
      <c r="C170" s="164" t="str">
        <f>VLOOKUP(B170,HECVAT!A:E,2,FALSE)</f>
        <v>Is Institution's data encrypted in storage? (e.g. disk encryption, at-rest)</v>
      </c>
      <c r="D170" s="212" t="str">
        <f>VLOOKUP(B170,HECVAT!A:E,4,FALSE)</f>
        <v/>
      </c>
      <c r="E170" s="174" t="b">
        <f>IF(Questions!$K170&gt;20,TRUE,FALSE)</f>
        <v>1</v>
      </c>
      <c r="F170" s="174" t="s">
        <v>2835</v>
      </c>
      <c r="G170" s="171" t="s">
        <v>92</v>
      </c>
      <c r="H170" s="176">
        <v>1.0</v>
      </c>
      <c r="I170" s="164" t="str">
        <f>VLOOKUP(B170,HECVAT!A:E,3,FALSE)</f>
        <v/>
      </c>
      <c r="J170" s="164">
        <f>IF(Questions!$G170=Questions!$I170,1,0)</f>
        <v>0</v>
      </c>
      <c r="K170" s="164">
        <f>IF(Questions!$H170=1,40,"")</f>
        <v>40</v>
      </c>
      <c r="L170" s="164">
        <f>IF(Questions!$H170=1,J170*K170,"")</f>
        <v>0</v>
      </c>
      <c r="M170" s="180" t="str">
        <f>VLOOKUP($B170,'Standards Crosswalk'!$A:$H,3,FALSE)</f>
        <v>CSC 14</v>
      </c>
      <c r="N170" s="180" t="str">
        <f>VLOOKUP($B170,'Standards Crosswalk'!$A:$H,4,FALSE)</f>
        <v/>
      </c>
      <c r="O170" s="180" t="str">
        <f>VLOOKUP($B170,'Standards Crosswalk'!$A:$H,5,FALSE)</f>
        <v>8.2.3</v>
      </c>
      <c r="P170" s="180" t="str">
        <f>VLOOKUP($B170,'Standards Crosswalk'!$A:$H,6,FALSE)</f>
        <v>DE.CM-7, PR.DS-1</v>
      </c>
      <c r="Q170" s="180" t="str">
        <f>VLOOKUP($B170,'Standards Crosswalk'!$A:$H,7,FALSE)</f>
        <v/>
      </c>
      <c r="R170" s="180" t="str">
        <f>VLOOKUP($B170,'Standards Crosswalk'!$A:$H,8,FALSE)</f>
        <v/>
      </c>
      <c r="S170" s="180" t="str">
        <f>VLOOKUP($B170,'Standards Crosswalk'!$A:$I,9,FALSE)</f>
        <v/>
      </c>
      <c r="T170" s="164"/>
      <c r="U170" s="164"/>
      <c r="V170" s="164"/>
      <c r="W170" s="164"/>
      <c r="X170" s="164"/>
      <c r="Y170" s="164"/>
      <c r="Z170" s="164"/>
    </row>
    <row r="171" ht="13.5" customHeight="1">
      <c r="A171" s="164">
        <f t="shared" si="3"/>
        <v>169</v>
      </c>
      <c r="B171" s="171" t="s">
        <v>757</v>
      </c>
      <c r="C171" s="164" t="str">
        <f>VLOOKUP(B171,HECVAT!A:E,2,FALSE)</f>
        <v>Does the mobile application support Kerberos, CAS, or Active Directory authentication?</v>
      </c>
      <c r="D171" s="212" t="str">
        <f>VLOOKUP(B171,HECVAT!A:E,4,FALSE)</f>
        <v/>
      </c>
      <c r="E171" s="174" t="b">
        <f>IF(Questions!$K171&gt;20,TRUE,FALSE)</f>
        <v>1</v>
      </c>
      <c r="F171" s="174" t="s">
        <v>2835</v>
      </c>
      <c r="G171" s="171" t="s">
        <v>92</v>
      </c>
      <c r="H171" s="176">
        <v>1.0</v>
      </c>
      <c r="I171" s="164" t="str">
        <f>VLOOKUP(B171,HECVAT!A:E,3,FALSE)</f>
        <v/>
      </c>
      <c r="J171" s="164">
        <f>IF(Questions!$G171=Questions!$I171,1,0)</f>
        <v>0</v>
      </c>
      <c r="K171" s="164">
        <f>IF(Questions!$H171=1,25,"")</f>
        <v>25</v>
      </c>
      <c r="L171" s="164">
        <f>IF(Questions!$H171=1,J171*K171,"")</f>
        <v>0</v>
      </c>
      <c r="M171" s="180" t="str">
        <f>VLOOKUP($B171,'Standards Crosswalk'!$A:$H,3,FALSE)</f>
        <v>CSC 16</v>
      </c>
      <c r="N171" s="180" t="str">
        <f>VLOOKUP($B171,'Standards Crosswalk'!$A:$H,4,FALSE)</f>
        <v/>
      </c>
      <c r="O171" s="180" t="str">
        <f>VLOOKUP($B171,'Standards Crosswalk'!$A:$H,5,FALSE)</f>
        <v>9.4.2</v>
      </c>
      <c r="P171" s="180" t="str">
        <f>VLOOKUP($B171,'Standards Crosswalk'!$A:$H,6,FALSE)</f>
        <v/>
      </c>
      <c r="Q171" s="180" t="str">
        <f>VLOOKUP($B171,'Standards Crosswalk'!$A:$H,7,FALSE)</f>
        <v/>
      </c>
      <c r="R171" s="180" t="str">
        <f>VLOOKUP($B171,'Standards Crosswalk'!$A:$H,8,FALSE)</f>
        <v/>
      </c>
      <c r="S171" s="180" t="str">
        <f>VLOOKUP($B171,'Standards Crosswalk'!$A:$I,9,FALSE)</f>
        <v/>
      </c>
      <c r="T171" s="164"/>
      <c r="U171" s="164"/>
      <c r="V171" s="164"/>
      <c r="W171" s="164"/>
      <c r="X171" s="164"/>
      <c r="Y171" s="164"/>
      <c r="Z171" s="164"/>
    </row>
    <row r="172" ht="13.5" customHeight="1">
      <c r="A172" s="164">
        <f t="shared" si="3"/>
        <v>170</v>
      </c>
      <c r="B172" s="171" t="s">
        <v>760</v>
      </c>
      <c r="C172" s="164" t="str">
        <f>VLOOKUP(B172,HECVAT!A:E,2,FALSE)</f>
        <v>Will any of these systems be implemented on systems hosting the Institution's data?</v>
      </c>
      <c r="D172" s="212" t="str">
        <f>VLOOKUP(B172,HECVAT!A:E,4,FALSE)</f>
        <v/>
      </c>
      <c r="E172" s="174" t="b">
        <f>IF(Questions!$K172&gt;20,TRUE,FALSE)</f>
        <v>0</v>
      </c>
      <c r="F172" s="174" t="s">
        <v>2835</v>
      </c>
      <c r="G172" s="171" t="s">
        <v>92</v>
      </c>
      <c r="H172" s="176">
        <v>1.0</v>
      </c>
      <c r="I172" s="164" t="str">
        <f>VLOOKUP(B172,HECVAT!A:E,3,FALSE)</f>
        <v/>
      </c>
      <c r="J172" s="164">
        <f>IF(VLOOKUP(Questions!$B172,'Analyst Report'!$A$38:$G$85,7,FALSE)="Yes",1,0)</f>
        <v>0</v>
      </c>
      <c r="K172" s="164">
        <f>IF(Questions!$H172=1,20,"")</f>
        <v>20</v>
      </c>
      <c r="L172" s="164">
        <f>IF(Questions!$H172=1,J172*K172,"")</f>
        <v>0</v>
      </c>
      <c r="M172" s="180" t="str">
        <f>VLOOKUP($B172,'Standards Crosswalk'!$A:$H,3,FALSE)</f>
        <v>CSC 16</v>
      </c>
      <c r="N172" s="180" t="str">
        <f>VLOOKUP($B172,'Standards Crosswalk'!$A:$H,4,FALSE)</f>
        <v/>
      </c>
      <c r="O172" s="180" t="str">
        <f>VLOOKUP($B172,'Standards Crosswalk'!$A:$H,5,FALSE)</f>
        <v/>
      </c>
      <c r="P172" s="180" t="str">
        <f>VLOOKUP($B172,'Standards Crosswalk'!$A:$H,6,FALSE)</f>
        <v/>
      </c>
      <c r="Q172" s="180" t="str">
        <f>VLOOKUP($B172,'Standards Crosswalk'!$A:$H,7,FALSE)</f>
        <v/>
      </c>
      <c r="R172" s="180" t="str">
        <f>VLOOKUP($B172,'Standards Crosswalk'!$A:$H,8,FALSE)</f>
        <v/>
      </c>
      <c r="S172" s="180" t="str">
        <f>VLOOKUP($B172,'Standards Crosswalk'!$A:$I,9,FALSE)</f>
        <v/>
      </c>
      <c r="T172" s="164"/>
      <c r="U172" s="164"/>
      <c r="V172" s="164"/>
      <c r="W172" s="164"/>
      <c r="X172" s="164"/>
      <c r="Y172" s="164"/>
      <c r="Z172" s="164"/>
    </row>
    <row r="173" ht="13.5" customHeight="1">
      <c r="A173" s="164">
        <f t="shared" si="3"/>
        <v>171</v>
      </c>
      <c r="B173" s="171" t="s">
        <v>762</v>
      </c>
      <c r="C173" s="164" t="str">
        <f>VLOOKUP(B173,HECVAT!A:E,2,FALSE)</f>
        <v>Does the application adhere to secure coding practices (e.g. OWASP, etc.)?</v>
      </c>
      <c r="D173" s="212" t="str">
        <f>VLOOKUP(B173,HECVAT!A:E,4,FALSE)</f>
        <v/>
      </c>
      <c r="E173" s="174" t="b">
        <f>IF(Questions!$K173&gt;20,TRUE,FALSE)</f>
        <v>1</v>
      </c>
      <c r="F173" s="174" t="s">
        <v>2835</v>
      </c>
      <c r="G173" s="171" t="s">
        <v>92</v>
      </c>
      <c r="H173" s="176">
        <v>1.0</v>
      </c>
      <c r="I173" s="164" t="str">
        <f>VLOOKUP(B173,HECVAT!A:E,3,FALSE)</f>
        <v/>
      </c>
      <c r="J173" s="164">
        <f>IF(Questions!$G173=Questions!$I173,1,0)</f>
        <v>0</v>
      </c>
      <c r="K173" s="164">
        <f>IF(Questions!$H173=1,25,"")</f>
        <v>25</v>
      </c>
      <c r="L173" s="164">
        <f>IF(Questions!$H173=1,J173*K173,"")</f>
        <v>0</v>
      </c>
      <c r="M173" s="180" t="str">
        <f>VLOOKUP($B173,'Standards Crosswalk'!$A:$H,3,FALSE)</f>
        <v>CSC 18</v>
      </c>
      <c r="N173" s="180" t="str">
        <f>VLOOKUP($B173,'Standards Crosswalk'!$A:$H,4,FALSE)</f>
        <v/>
      </c>
      <c r="O173" s="180" t="str">
        <f>VLOOKUP($B173,'Standards Crosswalk'!$A:$H,5,FALSE)</f>
        <v>14.2.1</v>
      </c>
      <c r="P173" s="180" t="str">
        <f>VLOOKUP($B173,'Standards Crosswalk'!$A:$H,6,FALSE)</f>
        <v>DE.CM-7</v>
      </c>
      <c r="Q173" s="180" t="str">
        <f>VLOOKUP($B173,'Standards Crosswalk'!$A:$H,7,FALSE)</f>
        <v/>
      </c>
      <c r="R173" s="180" t="str">
        <f>VLOOKUP($B173,'Standards Crosswalk'!$A:$H,8,FALSE)</f>
        <v/>
      </c>
      <c r="S173" s="180" t="str">
        <f>VLOOKUP($B173,'Standards Crosswalk'!$A:$I,9,FALSE)</f>
        <v/>
      </c>
      <c r="T173" s="164"/>
      <c r="U173" s="164"/>
      <c r="V173" s="164"/>
      <c r="W173" s="164"/>
      <c r="X173" s="164"/>
      <c r="Y173" s="164"/>
      <c r="Z173" s="164"/>
    </row>
    <row r="174" ht="13.5" customHeight="1">
      <c r="A174" s="164">
        <f t="shared" si="3"/>
        <v>172</v>
      </c>
      <c r="B174" s="171" t="s">
        <v>764</v>
      </c>
      <c r="C174" s="164" t="str">
        <f>VLOOKUP(B174,HECVAT!A:E,2,FALSE)</f>
        <v>Has the application been tested for vulnerabilities by a third party?</v>
      </c>
      <c r="D174" s="212" t="str">
        <f>VLOOKUP(B174,HECVAT!A:E,4,FALSE)</f>
        <v/>
      </c>
      <c r="E174" s="174" t="b">
        <f>IF(Questions!$K174&gt;20,TRUE,FALSE)</f>
        <v>1</v>
      </c>
      <c r="F174" s="174" t="s">
        <v>2835</v>
      </c>
      <c r="G174" s="171" t="s">
        <v>92</v>
      </c>
      <c r="H174" s="176">
        <v>1.0</v>
      </c>
      <c r="I174" s="164" t="str">
        <f>VLOOKUP(B174,HECVAT!A:E,3,FALSE)</f>
        <v/>
      </c>
      <c r="J174" s="164">
        <f>IF(Questions!$G174=Questions!$I174,1,0)</f>
        <v>0</v>
      </c>
      <c r="K174" s="164">
        <f>IF(Questions!$H174=1,25,"")</f>
        <v>25</v>
      </c>
      <c r="L174" s="164">
        <f>IF(Questions!$H174=1,J174*K174,"")</f>
        <v>0</v>
      </c>
      <c r="M174" s="180" t="str">
        <f>VLOOKUP($B174,'Standards Crosswalk'!$A:$H,3,FALSE)</f>
        <v>CSC 18</v>
      </c>
      <c r="N174" s="180" t="str">
        <f>VLOOKUP($B174,'Standards Crosswalk'!$A:$H,4,FALSE)</f>
        <v/>
      </c>
      <c r="O174" s="180" t="str">
        <f>VLOOKUP($B174,'Standards Crosswalk'!$A:$H,5,FALSE)</f>
        <v>12.7.1, 18.2.1</v>
      </c>
      <c r="P174" s="180" t="str">
        <f>VLOOKUP($B174,'Standards Crosswalk'!$A:$H,6,FALSE)</f>
        <v>DE.CM-7, DE.CM-8, ID.RA-1</v>
      </c>
      <c r="Q174" s="180" t="str">
        <f>VLOOKUP($B174,'Standards Crosswalk'!$A:$H,7,FALSE)</f>
        <v/>
      </c>
      <c r="R174" s="180" t="str">
        <f>VLOOKUP($B174,'Standards Crosswalk'!$A:$H,8,FALSE)</f>
        <v/>
      </c>
      <c r="S174" s="180" t="str">
        <f>VLOOKUP($B174,'Standards Crosswalk'!$A:$I,9,FALSE)</f>
        <v/>
      </c>
      <c r="T174" s="164"/>
      <c r="U174" s="164"/>
      <c r="V174" s="164"/>
      <c r="W174" s="164"/>
      <c r="X174" s="164"/>
      <c r="Y174" s="164"/>
      <c r="Z174" s="164"/>
    </row>
    <row r="175" ht="13.5" customHeight="1">
      <c r="A175" s="164">
        <f t="shared" si="3"/>
        <v>173</v>
      </c>
      <c r="B175" s="171" t="s">
        <v>768</v>
      </c>
      <c r="C175" s="164" t="str">
        <f>VLOOKUP(B175,HECVAT!A:E,2,FALSE)</f>
        <v>State the party that performed the vulnerability test and the date it was conducted?</v>
      </c>
      <c r="D175" s="164" t="str">
        <f>VLOOKUP(B175,HECVAT!A:E,4,FALSE)</f>
        <v/>
      </c>
      <c r="E175" s="174" t="b">
        <f>IF(Questions!$K175&gt;20,TRUE,FALSE)</f>
        <v>1</v>
      </c>
      <c r="F175" s="174" t="s">
        <v>2835</v>
      </c>
      <c r="G175" s="171" t="s">
        <v>92</v>
      </c>
      <c r="H175" s="176">
        <v>1.0</v>
      </c>
      <c r="I175" s="164" t="str">
        <f>VLOOKUP(B175,HECVAT!A:E,3,FALSE)</f>
        <v/>
      </c>
      <c r="J175" s="164">
        <f>IF(VLOOKUP(Questions!$B175,'Analyst Report'!$A$38:$G$85,7,FALSE)="Yes",1,0)</f>
        <v>0</v>
      </c>
      <c r="K175" s="164">
        <f>IF(Questions!$H175=1,25,"")</f>
        <v>25</v>
      </c>
      <c r="L175" s="164">
        <f>IF(Questions!$H175=1,J175*K175,"")</f>
        <v>0</v>
      </c>
      <c r="M175" s="180" t="str">
        <f>VLOOKUP($B175,'Standards Crosswalk'!$A:$H,3,FALSE)</f>
        <v>CSC 18</v>
      </c>
      <c r="N175" s="180" t="str">
        <f>VLOOKUP($B175,'Standards Crosswalk'!$A:$H,4,FALSE)</f>
        <v/>
      </c>
      <c r="O175" s="180" t="str">
        <f>VLOOKUP($B175,'Standards Crosswalk'!$A:$H,5,FALSE)</f>
        <v>12.7.1, 18.2.1</v>
      </c>
      <c r="P175" s="180" t="str">
        <f>VLOOKUP($B175,'Standards Crosswalk'!$A:$H,6,FALSE)</f>
        <v>DE.CM-7, DE.CM-8, ID.RA-1</v>
      </c>
      <c r="Q175" s="180" t="str">
        <f>VLOOKUP($B175,'Standards Crosswalk'!$A:$H,7,FALSE)</f>
        <v/>
      </c>
      <c r="R175" s="180" t="str">
        <f>VLOOKUP($B175,'Standards Crosswalk'!$A:$H,8,FALSE)</f>
        <v/>
      </c>
      <c r="S175" s="180" t="str">
        <f>VLOOKUP($B175,'Standards Crosswalk'!$A:$I,9,FALSE)</f>
        <v/>
      </c>
      <c r="T175" s="164"/>
      <c r="U175" s="164"/>
      <c r="V175" s="164"/>
      <c r="W175" s="164"/>
      <c r="X175" s="164"/>
      <c r="Y175" s="164"/>
      <c r="Z175" s="164"/>
    </row>
    <row r="176" ht="13.5" customHeight="1">
      <c r="A176" s="164">
        <f t="shared" si="3"/>
        <v>174</v>
      </c>
      <c r="B176" s="171" t="s">
        <v>772</v>
      </c>
      <c r="C176" s="164" t="str">
        <f>VLOOKUP(B176,HECVAT!A:E,2,FALSE)</f>
        <v>Does your organization have physical security controls and policies in place?</v>
      </c>
      <c r="D176" s="164" t="str">
        <f>VLOOKUP(B176,HECVAT!A:E,4,FALSE)</f>
        <v>fingerprint scanner, security cameras</v>
      </c>
      <c r="E176" s="174" t="b">
        <f>IF(Questions!$K176&gt;20,TRUE,FALSE)</f>
        <v>0</v>
      </c>
      <c r="F176" s="174" t="s">
        <v>2747</v>
      </c>
      <c r="G176" s="171" t="s">
        <v>92</v>
      </c>
      <c r="H176" s="176">
        <v>1.0</v>
      </c>
      <c r="I176" s="164" t="str">
        <f>VLOOKUP(B176,HECVAT!A:E,3,FALSE)</f>
        <v>Yes</v>
      </c>
      <c r="J176" s="164">
        <f>IF(Questions!$G176=Questions!$I176,1,0)</f>
        <v>1</v>
      </c>
      <c r="K176" s="164">
        <f>IF(Questions!$H176=1,20,"")</f>
        <v>20</v>
      </c>
      <c r="L176" s="164">
        <f>IF(Questions!$H176=1,J176*K176,"")</f>
        <v>20</v>
      </c>
      <c r="M176" s="180" t="str">
        <f>VLOOKUP($B176,'Standards Crosswalk'!$A:$H,3,FALSE)</f>
        <v>CSC 3</v>
      </c>
      <c r="N176" s="180" t="str">
        <f>VLOOKUP($B176,'Standards Crosswalk'!$A:$H,4,FALSE)</f>
        <v/>
      </c>
      <c r="O176" s="180" t="str">
        <f>VLOOKUP($B176,'Standards Crosswalk'!$A:$H,5,FALSE)</f>
        <v>11.1.1</v>
      </c>
      <c r="P176" s="180" t="str">
        <f>VLOOKUP($B176,'Standards Crosswalk'!$A:$H,6,FALSE)</f>
        <v>PR.AC-2, PR.AT-5, PR.IP-5, DE.CM-2</v>
      </c>
      <c r="Q176" s="180" t="str">
        <f>VLOOKUP($B176,'Standards Crosswalk'!$A:$H,7,FALSE)</f>
        <v>3.8.2, 3.10.1, 3.10.2, 3.10.5, 3.10.6, 3.12.1</v>
      </c>
      <c r="R176" s="180" t="str">
        <f>VLOOKUP($B176,'Standards Crosswalk'!$A:$H,8,FALSE)</f>
        <v>MP-4, PE-2, PE-5, PE-6, PE-17</v>
      </c>
      <c r="S176" s="180" t="str">
        <f>VLOOKUP($B176,'Standards Crosswalk'!$A:$I,9,FALSE)</f>
        <v>9.x</v>
      </c>
      <c r="T176" s="164"/>
      <c r="U176" s="164"/>
      <c r="V176" s="164"/>
      <c r="W176" s="164"/>
      <c r="X176" s="164"/>
      <c r="Y176" s="164"/>
      <c r="Z176" s="164"/>
    </row>
    <row r="177" ht="13.5" customHeight="1">
      <c r="A177" s="164">
        <f t="shared" si="3"/>
        <v>175</v>
      </c>
      <c r="B177" s="171" t="s">
        <v>777</v>
      </c>
      <c r="C177" s="164" t="str">
        <f>VLOOKUP(B177,HECVAT!A:E,2,FALSE)</f>
        <v>Are employees allowed to take home Institution's data in any form?</v>
      </c>
      <c r="D177" s="212" t="str">
        <f>VLOOKUP(B177,HECVAT!A:E,4,FALSE)</f>
        <v/>
      </c>
      <c r="E177" s="174" t="b">
        <f>IF(Questions!$K177&gt;20,TRUE,FALSE)</f>
        <v>1</v>
      </c>
      <c r="F177" s="174" t="s">
        <v>2747</v>
      </c>
      <c r="G177" s="171" t="s">
        <v>85</v>
      </c>
      <c r="H177" s="176">
        <v>1.0</v>
      </c>
      <c r="I177" s="164" t="str">
        <f>VLOOKUP(B177,HECVAT!A:E,3,FALSE)</f>
        <v>No</v>
      </c>
      <c r="J177" s="164">
        <f>IF(Questions!$G177=Questions!$I177,1,0)</f>
        <v>1</v>
      </c>
      <c r="K177" s="164">
        <f>IF(Questions!$H177=1,25,"")</f>
        <v>25</v>
      </c>
      <c r="L177" s="164">
        <f>IF(Questions!$H177=1,J177*K177,"")</f>
        <v>25</v>
      </c>
      <c r="M177" s="180" t="str">
        <f>VLOOKUP($B177,'Standards Crosswalk'!$A:$H,3,FALSE)</f>
        <v>CSC 13</v>
      </c>
      <c r="N177" s="180" t="str">
        <f>VLOOKUP($B177,'Standards Crosswalk'!$A:$H,4,FALSE)</f>
        <v/>
      </c>
      <c r="O177" s="180" t="str">
        <f>VLOOKUP($B177,'Standards Crosswalk'!$A:$H,5,FALSE)</f>
        <v>8.2.3</v>
      </c>
      <c r="P177" s="180" t="str">
        <f>VLOOKUP($B177,'Standards Crosswalk'!$A:$H,6,FALSE)</f>
        <v>PR.AC-2, PR.AC-4, PR.DS-1, PR.DS-3, PR.DS-5</v>
      </c>
      <c r="Q177" s="180" t="str">
        <f>VLOOKUP($B177,'Standards Crosswalk'!$A:$H,7,FALSE)</f>
        <v>3.8.1, 3.8.5, 3.8.7</v>
      </c>
      <c r="R177" s="180" t="str">
        <f>VLOOKUP($B177,'Standards Crosswalk'!$A:$H,8,FALSE)</f>
        <v>MP-2, MP-5, MP-7</v>
      </c>
      <c r="S177" s="180" t="str">
        <f>VLOOKUP($B177,'Standards Crosswalk'!$A:$I,9,FALSE)</f>
        <v>12.1, 9.x</v>
      </c>
      <c r="T177" s="164"/>
      <c r="U177" s="164"/>
      <c r="V177" s="164"/>
      <c r="W177" s="164"/>
      <c r="X177" s="164"/>
      <c r="Y177" s="164"/>
      <c r="Z177" s="164"/>
    </row>
    <row r="178" ht="13.5" customHeight="1">
      <c r="A178" s="164">
        <f t="shared" si="3"/>
        <v>176</v>
      </c>
      <c r="B178" s="171" t="s">
        <v>783</v>
      </c>
      <c r="C178" s="164" t="str">
        <f>VLOOKUP(B178,HECVAT!A:E,2,FALSE)</f>
        <v>Are video monitoring feeds retained?</v>
      </c>
      <c r="D178" s="226" t="str">
        <f>VLOOKUP(B178,HECVAT!A:E,4,FALSE)</f>
        <v>google.com/security</v>
      </c>
      <c r="E178" s="174" t="b">
        <f>IF(Questions!$K178&gt;20,TRUE,FALSE)</f>
        <v>0</v>
      </c>
      <c r="F178" s="174" t="s">
        <v>2747</v>
      </c>
      <c r="G178" s="171" t="s">
        <v>92</v>
      </c>
      <c r="H178" s="176">
        <v>1.0</v>
      </c>
      <c r="I178" s="164" t="str">
        <f>VLOOKUP(B178,HECVAT!A:E,3,FALSE)</f>
        <v>Yes</v>
      </c>
      <c r="J178" s="164">
        <f>IF(Questions!$G178=Questions!$I178,1,0)</f>
        <v>1</v>
      </c>
      <c r="K178" s="164">
        <f>IF(Questions!$H178=1,20,"")</f>
        <v>20</v>
      </c>
      <c r="L178" s="164">
        <f>IF(Questions!$H178=1,J178*K178,"")</f>
        <v>20</v>
      </c>
      <c r="M178" s="180" t="str">
        <f>VLOOKUP($B178,'Standards Crosswalk'!$A:$H,3,FALSE)</f>
        <v>CSC 3</v>
      </c>
      <c r="N178" s="180" t="str">
        <f>VLOOKUP($B178,'Standards Crosswalk'!$A:$H,4,FALSE)</f>
        <v/>
      </c>
      <c r="O178" s="180" t="str">
        <f>VLOOKUP($B178,'Standards Crosswalk'!$A:$H,5,FALSE)</f>
        <v>11.1.2, 11.1.3</v>
      </c>
      <c r="P178" s="180" t="str">
        <f>VLOOKUP($B178,'Standards Crosswalk'!$A:$H,6,FALSE)</f>
        <v>DE.CM-2</v>
      </c>
      <c r="Q178" s="180" t="str">
        <f>VLOOKUP($B178,'Standards Crosswalk'!$A:$H,7,FALSE)</f>
        <v>3.10.2</v>
      </c>
      <c r="R178" s="180" t="str">
        <f>VLOOKUP($B178,'Standards Crosswalk'!$A:$H,8,FALSE)</f>
        <v>PE-6</v>
      </c>
      <c r="S178" s="180" t="str">
        <f>VLOOKUP($B178,'Standards Crosswalk'!$A:$I,9,FALSE)</f>
        <v>9.x</v>
      </c>
      <c r="T178" s="164"/>
      <c r="U178" s="164"/>
      <c r="V178" s="164"/>
      <c r="W178" s="164"/>
      <c r="X178" s="164"/>
      <c r="Y178" s="164"/>
      <c r="Z178" s="164"/>
    </row>
    <row r="179" ht="13.5" customHeight="1">
      <c r="A179" s="164">
        <f t="shared" si="3"/>
        <v>177</v>
      </c>
      <c r="B179" s="171" t="s">
        <v>789</v>
      </c>
      <c r="C179" s="164" t="str">
        <f>VLOOKUP(B179,HECVAT!A:E,2,FALSE)</f>
        <v>Are video feeds monitored by datacenter staff?</v>
      </c>
      <c r="D179" s="226" t="str">
        <f>VLOOKUP(B179,HECVAT!A:E,4,FALSE)</f>
        <v>google.com/security</v>
      </c>
      <c r="E179" s="174" t="b">
        <f>IF(Questions!$K179&gt;20,TRUE,FALSE)</f>
        <v>0</v>
      </c>
      <c r="F179" s="174" t="s">
        <v>2747</v>
      </c>
      <c r="G179" s="171" t="s">
        <v>92</v>
      </c>
      <c r="H179" s="176">
        <v>1.0</v>
      </c>
      <c r="I179" s="164" t="str">
        <f>VLOOKUP(B179,HECVAT!A:E,3,FALSE)</f>
        <v>Yes</v>
      </c>
      <c r="J179" s="164">
        <f>IF(Questions!$G179=Questions!$I179,1,0)</f>
        <v>1</v>
      </c>
      <c r="K179" s="164">
        <f>IF(Questions!$H179=1,20,"")</f>
        <v>20</v>
      </c>
      <c r="L179" s="164">
        <f>IF(Questions!$H179=1,J179*K179,"")</f>
        <v>20</v>
      </c>
      <c r="M179" s="180" t="str">
        <f>VLOOKUP($B179,'Standards Crosswalk'!$A:$H,3,FALSE)</f>
        <v>CSC 3</v>
      </c>
      <c r="N179" s="180" t="str">
        <f>VLOOKUP($B179,'Standards Crosswalk'!$A:$H,4,FALSE)</f>
        <v/>
      </c>
      <c r="O179" s="180" t="str">
        <f>VLOOKUP($B179,'Standards Crosswalk'!$A:$H,5,FALSE)</f>
        <v>11.1.2,  11.1.3</v>
      </c>
      <c r="P179" s="180" t="str">
        <f>VLOOKUP($B179,'Standards Crosswalk'!$A:$H,6,FALSE)</f>
        <v>DE.CM-2</v>
      </c>
      <c r="Q179" s="180" t="str">
        <f>VLOOKUP($B179,'Standards Crosswalk'!$A:$H,7,FALSE)</f>
        <v>3.10.2</v>
      </c>
      <c r="R179" s="180" t="str">
        <f>VLOOKUP($B179,'Standards Crosswalk'!$A:$H,8,FALSE)</f>
        <v>PE-6</v>
      </c>
      <c r="S179" s="180" t="str">
        <f>VLOOKUP($B179,'Standards Crosswalk'!$A:$I,9,FALSE)</f>
        <v>9.x</v>
      </c>
      <c r="T179" s="164"/>
      <c r="U179" s="164"/>
      <c r="V179" s="164"/>
      <c r="W179" s="164"/>
      <c r="X179" s="164"/>
      <c r="Y179" s="164"/>
      <c r="Z179" s="164"/>
    </row>
    <row r="180" ht="13.5" customHeight="1">
      <c r="A180" s="164">
        <f t="shared" si="3"/>
        <v>178</v>
      </c>
      <c r="B180" s="171" t="s">
        <v>792</v>
      </c>
      <c r="C180" s="164" t="str">
        <f>VLOOKUP(B180,HECVAT!A:E,2,FALSE)</f>
        <v>Are individuals required to sign in/out for installation and removal of equipment?</v>
      </c>
      <c r="D180" s="212" t="str">
        <f>VLOOKUP(B180,HECVAT!A:E,4,FALSE)</f>
        <v/>
      </c>
      <c r="E180" s="174" t="b">
        <f>IF(Questions!$K180&gt;20,TRUE,FALSE)</f>
        <v>0</v>
      </c>
      <c r="F180" s="174" t="s">
        <v>2747</v>
      </c>
      <c r="G180" s="171" t="s">
        <v>92</v>
      </c>
      <c r="H180" s="176">
        <v>1.0</v>
      </c>
      <c r="I180" s="164" t="str">
        <f>VLOOKUP(B180,HECVAT!A:E,3,FALSE)</f>
        <v>Yes</v>
      </c>
      <c r="J180" s="164">
        <f>IF(Questions!$G180=Questions!$I180,1,0)</f>
        <v>1</v>
      </c>
      <c r="K180" s="164">
        <f>IF(Questions!$H180=1,15,"")</f>
        <v>15</v>
      </c>
      <c r="L180" s="164">
        <f>IF(Questions!$H180=1,J180*K180,"")</f>
        <v>15</v>
      </c>
      <c r="M180" s="180" t="str">
        <f>VLOOKUP($B180,'Standards Crosswalk'!$A:$H,3,FALSE)</f>
        <v>CSC 14</v>
      </c>
      <c r="N180" s="180" t="str">
        <f>VLOOKUP($B180,'Standards Crosswalk'!$A:$H,4,FALSE)</f>
        <v/>
      </c>
      <c r="O180" s="180" t="str">
        <f>VLOOKUP($B180,'Standards Crosswalk'!$A:$H,5,FALSE)</f>
        <v>11.1.2</v>
      </c>
      <c r="P180" s="180" t="str">
        <f>VLOOKUP($B180,'Standards Crosswalk'!$A:$H,6,FALSE)</f>
        <v>PR.DS-3</v>
      </c>
      <c r="Q180" s="180" t="str">
        <f>VLOOKUP($B180,'Standards Crosswalk'!$A:$H,7,FALSE)</f>
        <v>3.7.3, 3.8.1, 3.8.5, 3.8.7, 3.10.3</v>
      </c>
      <c r="R180" s="180" t="str">
        <f>VLOOKUP($B180,'Standards Crosswalk'!$A:$H,8,FALSE)</f>
        <v>MP-2, MP-5, MP-7</v>
      </c>
      <c r="S180" s="180" t="str">
        <f>VLOOKUP($B180,'Standards Crosswalk'!$A:$I,9,FALSE)</f>
        <v>9.x</v>
      </c>
      <c r="T180" s="164"/>
      <c r="U180" s="164"/>
      <c r="V180" s="164"/>
      <c r="W180" s="164"/>
      <c r="X180" s="164"/>
      <c r="Y180" s="164"/>
      <c r="Z180" s="164"/>
    </row>
    <row r="181" ht="13.5" customHeight="1">
      <c r="A181" s="164">
        <f t="shared" si="3"/>
        <v>179</v>
      </c>
      <c r="B181" s="171" t="s">
        <v>797</v>
      </c>
      <c r="C181" s="164" t="str">
        <f>VLOOKUP(B181,HECVAT!A:E,2,FALSE)</f>
        <v>Can you share the organization chart, mission statement, and policies for your information security unit?</v>
      </c>
      <c r="D181" s="164" t="str">
        <f>VLOOKUP(B181,HECVAT!A:E,4,FALSE)</f>
        <v>We need an NDA to do so</v>
      </c>
      <c r="E181" s="174" t="b">
        <f>IF(Questions!$K181&gt;20,TRUE,FALSE)</f>
        <v>0</v>
      </c>
      <c r="F181" s="174" t="s">
        <v>2748</v>
      </c>
      <c r="G181" s="171" t="s">
        <v>92</v>
      </c>
      <c r="H181" s="176">
        <v>1.0</v>
      </c>
      <c r="I181" s="164" t="str">
        <f>VLOOKUP(B181,HECVAT!A:E,3,FALSE)</f>
        <v>Yes</v>
      </c>
      <c r="J181" s="164">
        <f>IF(Questions!$G181=Questions!$I181,1,0)</f>
        <v>1</v>
      </c>
      <c r="K181" s="164">
        <f>IF(Questions!$H181=1,20,"")</f>
        <v>20</v>
      </c>
      <c r="L181" s="164">
        <f>IF(Questions!$H181=1,J181*K181,"")</f>
        <v>20</v>
      </c>
      <c r="M181" s="180" t="str">
        <f>VLOOKUP($B181,'Standards Crosswalk'!$A:$H,3,FALSE)</f>
        <v/>
      </c>
      <c r="N181" s="180" t="str">
        <f>VLOOKUP($B181,'Standards Crosswalk'!$A:$H,4,FALSE)</f>
        <v/>
      </c>
      <c r="O181" s="180" t="str">
        <f>VLOOKUP($B181,'Standards Crosswalk'!$A:$H,5,FALSE)</f>
        <v>5.1.1</v>
      </c>
      <c r="P181" s="180" t="str">
        <f>VLOOKUP($B181,'Standards Crosswalk'!$A:$H,6,FALSE)</f>
        <v>ID.GV-2</v>
      </c>
      <c r="Q181" s="180" t="str">
        <f>VLOOKUP($B181,'Standards Crosswalk'!$A:$H,7,FALSE)</f>
        <v>3.9.1, 3.9.2</v>
      </c>
      <c r="R181" s="180" t="str">
        <f>VLOOKUP($B181,'Standards Crosswalk'!$A:$H,8,FALSE)</f>
        <v>PM-2, PM-10, SI-5, CA-5, PM-1</v>
      </c>
      <c r="S181" s="180" t="str">
        <f>VLOOKUP($B181,'Standards Crosswalk'!$A:$I,9,FALSE)</f>
        <v>12.4, 12.5</v>
      </c>
      <c r="T181" s="164"/>
      <c r="U181" s="164"/>
      <c r="V181" s="164"/>
      <c r="W181" s="164"/>
      <c r="X181" s="164"/>
      <c r="Y181" s="164"/>
      <c r="Z181" s="164"/>
    </row>
    <row r="182" ht="13.5" customHeight="1">
      <c r="A182" s="164">
        <f t="shared" si="3"/>
        <v>180</v>
      </c>
      <c r="B182" s="171" t="s">
        <v>804</v>
      </c>
      <c r="C182" s="164" t="str">
        <f>VLOOKUP(B182,HECVAT!A:E,2,FALSE)</f>
        <v>Do you have a documented patch management process?</v>
      </c>
      <c r="D182" s="212" t="str">
        <f>VLOOKUP(B182,HECVAT!A:E,4,FALSE)</f>
        <v>Patches to software, depending on severity may be done at anytime; logs of all patches</v>
      </c>
      <c r="E182" s="174" t="b">
        <f>IF(Questions!$K182&gt;20,TRUE,FALSE)</f>
        <v>1</v>
      </c>
      <c r="F182" s="174" t="s">
        <v>2748</v>
      </c>
      <c r="G182" s="171" t="s">
        <v>92</v>
      </c>
      <c r="H182" s="176">
        <v>1.0</v>
      </c>
      <c r="I182" s="164" t="str">
        <f>VLOOKUP(B182,HECVAT!A:E,3,FALSE)</f>
        <v>Yes</v>
      </c>
      <c r="J182" s="164">
        <f>IF(Questions!$G182=Questions!$I182,1,0)</f>
        <v>1</v>
      </c>
      <c r="K182" s="164">
        <f>IF(Questions!$H182=1,25,"")</f>
        <v>25</v>
      </c>
      <c r="L182" s="164">
        <f>IF(Questions!$H182=1,J182*K182,"")</f>
        <v>25</v>
      </c>
      <c r="M182" s="180" t="str">
        <f>VLOOKUP($B182,'Standards Crosswalk'!$A:$H,3,FALSE)</f>
        <v>CSC 4</v>
      </c>
      <c r="N182" s="180" t="str">
        <f>VLOOKUP($B182,'Standards Crosswalk'!$A:$H,4,FALSE)</f>
        <v/>
      </c>
      <c r="O182" s="180" t="str">
        <f>VLOOKUP($B182,'Standards Crosswalk'!$A:$H,5,FALSE)</f>
        <v>12.6.1</v>
      </c>
      <c r="P182" s="180" t="str">
        <f>VLOOKUP($B182,'Standards Crosswalk'!$A:$H,6,FALSE)</f>
        <v>PR.IP-12</v>
      </c>
      <c r="Q182" s="180" t="str">
        <f>VLOOKUP($B182,'Standards Crosswalk'!$A:$H,7,FALSE)</f>
        <v/>
      </c>
      <c r="R182" s="180" t="str">
        <f>VLOOKUP($B182,'Standards Crosswalk'!$A:$H,8,FALSE)</f>
        <v>CA-5, PM-1</v>
      </c>
      <c r="S182" s="180" t="str">
        <f>VLOOKUP($B182,'Standards Crosswalk'!$A:$I,9,FALSE)</f>
        <v>6.4.5</v>
      </c>
      <c r="T182" s="164"/>
      <c r="U182" s="164"/>
      <c r="V182" s="164"/>
      <c r="W182" s="164"/>
      <c r="X182" s="164"/>
      <c r="Y182" s="164"/>
      <c r="Z182" s="164"/>
    </row>
    <row r="183" ht="13.5" customHeight="1">
      <c r="A183" s="164">
        <f t="shared" si="3"/>
        <v>181</v>
      </c>
      <c r="B183" s="171" t="s">
        <v>810</v>
      </c>
      <c r="C183" s="164" t="str">
        <f>VLOOKUP(B183,HECVAT!A:E,2,FALSE)</f>
        <v>Can you accommodate encryption requirements using open standards?</v>
      </c>
      <c r="D183" s="212" t="str">
        <f>VLOOKUP(B183,HECVAT!A:E,4,FALSE)</f>
        <v/>
      </c>
      <c r="E183" s="174" t="b">
        <f>IF(Questions!$K183&gt;20,TRUE,FALSE)</f>
        <v>0</v>
      </c>
      <c r="F183" s="174" t="s">
        <v>2748</v>
      </c>
      <c r="G183" s="171" t="s">
        <v>92</v>
      </c>
      <c r="H183" s="176">
        <v>1.0</v>
      </c>
      <c r="I183" s="164" t="str">
        <f>VLOOKUP(B183,HECVAT!A:E,3,FALSE)</f>
        <v>Yes</v>
      </c>
      <c r="J183" s="164">
        <f>IF(Questions!$G183=Questions!$I183,1,0)</f>
        <v>1</v>
      </c>
      <c r="K183" s="164">
        <f>IF(Questions!$H183=1,20,"")</f>
        <v>20</v>
      </c>
      <c r="L183" s="164">
        <f>IF(Questions!$H183=1,J183*K183,"")</f>
        <v>20</v>
      </c>
      <c r="M183" s="180" t="str">
        <f>VLOOKUP($B183,'Standards Crosswalk'!$A:$H,3,FALSE)</f>
        <v>CSC 13</v>
      </c>
      <c r="N183" s="180" t="str">
        <f>VLOOKUP($B183,'Standards Crosswalk'!$A:$H,4,FALSE)</f>
        <v/>
      </c>
      <c r="O183" s="180" t="str">
        <f>VLOOKUP($B183,'Standards Crosswalk'!$A:$H,5,FALSE)</f>
        <v>10.1.1, 18.1.5</v>
      </c>
      <c r="P183" s="180" t="str">
        <f>VLOOKUP($B183,'Standards Crosswalk'!$A:$H,6,FALSE)</f>
        <v/>
      </c>
      <c r="Q183" s="180" t="str">
        <f>VLOOKUP($B183,'Standards Crosswalk'!$A:$H,7,FALSE)</f>
        <v/>
      </c>
      <c r="R183" s="180" t="str">
        <f>VLOOKUP($B183,'Standards Crosswalk'!$A:$H,8,FALSE)</f>
        <v>CA-5, PM-1</v>
      </c>
      <c r="S183" s="180" t="str">
        <f>VLOOKUP($B183,'Standards Crosswalk'!$A:$I,9,FALSE)</f>
        <v/>
      </c>
      <c r="T183" s="164"/>
      <c r="U183" s="164"/>
      <c r="V183" s="164"/>
      <c r="W183" s="164"/>
      <c r="X183" s="164"/>
      <c r="Y183" s="164"/>
      <c r="Z183" s="164"/>
    </row>
    <row r="184" ht="13.5" customHeight="1">
      <c r="A184" s="164">
        <f t="shared" si="3"/>
        <v>182</v>
      </c>
      <c r="B184" s="171" t="s">
        <v>813</v>
      </c>
      <c r="C184" s="164" t="str">
        <f>VLOOKUP(B184,HECVAT!A:E,2,FALSE)</f>
        <v>Have your developers been trained in secure coding techniques?</v>
      </c>
      <c r="D184" s="212" t="str">
        <f>VLOOKUP(B184,HECVAT!A:E,4,FALSE)</f>
        <v>Team is required to take a secure coding class each year.  Sans.org</v>
      </c>
      <c r="E184" s="174" t="b">
        <f>IF(Questions!$K184&gt;20,TRUE,FALSE)</f>
        <v>1</v>
      </c>
      <c r="F184" s="174" t="s">
        <v>2748</v>
      </c>
      <c r="G184" s="171" t="s">
        <v>92</v>
      </c>
      <c r="H184" s="176">
        <v>1.0</v>
      </c>
      <c r="I184" s="164" t="str">
        <f>VLOOKUP(B184,HECVAT!A:E,3,FALSE)</f>
        <v>Yes</v>
      </c>
      <c r="J184" s="164">
        <f>IF(Questions!$G184=Questions!$I184,1,0)</f>
        <v>1</v>
      </c>
      <c r="K184" s="164">
        <f>IF(Questions!$H184=1,25,"")</f>
        <v>25</v>
      </c>
      <c r="L184" s="164">
        <f>IF(Questions!$H184=1,J184*K184,"")</f>
        <v>25</v>
      </c>
      <c r="M184" s="180" t="str">
        <f>VLOOKUP($B184,'Standards Crosswalk'!$A:$H,3,FALSE)</f>
        <v>CSC 4, CSC 17</v>
      </c>
      <c r="N184" s="180" t="str">
        <f>VLOOKUP($B184,'Standards Crosswalk'!$A:$H,4,FALSE)</f>
        <v/>
      </c>
      <c r="O184" s="180" t="str">
        <f>VLOOKUP($B184,'Standards Crosswalk'!$A:$H,5,FALSE)</f>
        <v>14.2.1</v>
      </c>
      <c r="P184" s="180" t="str">
        <f>VLOOKUP($B184,'Standards Crosswalk'!$A:$H,6,FALSE)</f>
        <v/>
      </c>
      <c r="Q184" s="180" t="str">
        <f>VLOOKUP($B184,'Standards Crosswalk'!$A:$H,7,FALSE)</f>
        <v/>
      </c>
      <c r="R184" s="180" t="str">
        <f>VLOOKUP($B184,'Standards Crosswalk'!$A:$H,8,FALSE)</f>
        <v>CA-5, PM-1</v>
      </c>
      <c r="S184" s="180" t="str">
        <f>VLOOKUP($B184,'Standards Crosswalk'!$A:$I,9,FALSE)</f>
        <v>12.6, 6.5</v>
      </c>
      <c r="T184" s="164"/>
      <c r="U184" s="164"/>
      <c r="V184" s="164"/>
      <c r="W184" s="164"/>
      <c r="X184" s="164"/>
      <c r="Y184" s="164"/>
      <c r="Z184" s="164"/>
    </row>
    <row r="185" ht="13.5" customHeight="1">
      <c r="A185" s="164">
        <f t="shared" si="3"/>
        <v>183</v>
      </c>
      <c r="B185" s="171" t="s">
        <v>817</v>
      </c>
      <c r="C185" s="164" t="str">
        <f>VLOOKUP(B185,HECVAT!A:E,2,FALSE)</f>
        <v>Was your application developed using secure coding techniques?</v>
      </c>
      <c r="D185" s="212" t="str">
        <f>VLOOKUP(B185,HECVAT!A:E,4,FALSE)</f>
        <v>optimized to prevent injections, xss; use of direct object ref; functional level access</v>
      </c>
      <c r="E185" s="174" t="b">
        <f>IF(Questions!$K185&gt;20,TRUE,FALSE)</f>
        <v>0</v>
      </c>
      <c r="F185" s="174" t="s">
        <v>2748</v>
      </c>
      <c r="G185" s="171" t="s">
        <v>92</v>
      </c>
      <c r="H185" s="176">
        <v>1.0</v>
      </c>
      <c r="I185" s="164" t="str">
        <f>VLOOKUP(B185,HECVAT!A:E,3,FALSE)</f>
        <v>Yes</v>
      </c>
      <c r="J185" s="164">
        <f>IF(Questions!$G185=Questions!$I185,1,0)</f>
        <v>1</v>
      </c>
      <c r="K185" s="164">
        <f>IF(Questions!$H185=1,20,"")</f>
        <v>20</v>
      </c>
      <c r="L185" s="164">
        <f>IF(Questions!$H185=1,J185*K185,"")</f>
        <v>20</v>
      </c>
      <c r="M185" s="180" t="str">
        <f>VLOOKUP($B185,'Standards Crosswalk'!$A:$H,3,FALSE)</f>
        <v>CSC 4</v>
      </c>
      <c r="N185" s="180" t="str">
        <f>VLOOKUP($B185,'Standards Crosswalk'!$A:$H,4,FALSE)</f>
        <v/>
      </c>
      <c r="O185" s="180" t="str">
        <f>VLOOKUP($B185,'Standards Crosswalk'!$A:$H,5,FALSE)</f>
        <v>14.2.1</v>
      </c>
      <c r="P185" s="180" t="str">
        <f>VLOOKUP($B185,'Standards Crosswalk'!$A:$H,6,FALSE)</f>
        <v/>
      </c>
      <c r="Q185" s="180" t="str">
        <f>VLOOKUP($B185,'Standards Crosswalk'!$A:$H,7,FALSE)</f>
        <v/>
      </c>
      <c r="R185" s="180" t="str">
        <f>VLOOKUP($B185,'Standards Crosswalk'!$A:$H,8,FALSE)</f>
        <v>CA-5, PM-1</v>
      </c>
      <c r="S185" s="180">
        <f>VLOOKUP($B185,'Standards Crosswalk'!$A:$I,9,FALSE)</f>
        <v>6.3</v>
      </c>
      <c r="T185" s="164"/>
      <c r="U185" s="164"/>
      <c r="V185" s="164"/>
      <c r="W185" s="164"/>
      <c r="X185" s="164"/>
      <c r="Y185" s="164"/>
      <c r="Z185" s="164"/>
    </row>
    <row r="186" ht="13.5" customHeight="1">
      <c r="A186" s="164">
        <f t="shared" si="3"/>
        <v>184</v>
      </c>
      <c r="B186" s="171" t="s">
        <v>819</v>
      </c>
      <c r="C186" s="164" t="str">
        <f>VLOOKUP(B186,HECVAT!A:E,2,FALSE)</f>
        <v>Do you subject your code to static code analysis and/or static application security testing prior to release?</v>
      </c>
      <c r="D186" s="212" t="str">
        <f>VLOOKUP(B186,HECVAT!A:E,4,FALSE)</f>
        <v/>
      </c>
      <c r="E186" s="174" t="b">
        <f>IF(Questions!$K186&gt;20,TRUE,FALSE)</f>
        <v>1</v>
      </c>
      <c r="F186" s="174" t="s">
        <v>2748</v>
      </c>
      <c r="G186" s="171" t="s">
        <v>92</v>
      </c>
      <c r="H186" s="176">
        <v>1.0</v>
      </c>
      <c r="I186" s="164" t="str">
        <f>VLOOKUP(B186,HECVAT!A:E,3,FALSE)</f>
        <v>No</v>
      </c>
      <c r="J186" s="164">
        <f>IF(Questions!$G186=Questions!$I186,1,0)</f>
        <v>0</v>
      </c>
      <c r="K186" s="164">
        <f>IF(Questions!$H186=1,25,"")</f>
        <v>25</v>
      </c>
      <c r="L186" s="164">
        <f>IF(Questions!$H186=1,J186*K186,"")</f>
        <v>0</v>
      </c>
      <c r="M186" s="180" t="str">
        <f>VLOOKUP($B186,'Standards Crosswalk'!$A:$H,3,FALSE)</f>
        <v>CSC 4</v>
      </c>
      <c r="N186" s="180" t="str">
        <f>VLOOKUP($B186,'Standards Crosswalk'!$A:$H,4,FALSE)</f>
        <v/>
      </c>
      <c r="O186" s="180" t="str">
        <f>VLOOKUP($B186,'Standards Crosswalk'!$A:$H,5,FALSE)</f>
        <v>14.2.1, 14.2.5, 14.2.8</v>
      </c>
      <c r="P186" s="180" t="str">
        <f>VLOOKUP($B186,'Standards Crosswalk'!$A:$H,6,FALSE)</f>
        <v>DE.CM-8, RS.MI-3</v>
      </c>
      <c r="Q186" s="180" t="str">
        <f>VLOOKUP($B186,'Standards Crosswalk'!$A:$H,7,FALSE)</f>
        <v/>
      </c>
      <c r="R186" s="180" t="str">
        <f>VLOOKUP($B186,'Standards Crosswalk'!$A:$H,8,FALSE)</f>
        <v>CA-5, PM-1</v>
      </c>
      <c r="S186" s="180" t="str">
        <f>VLOOKUP($B186,'Standards Crosswalk'!$A:$I,9,FALSE)</f>
        <v>6.3.2</v>
      </c>
      <c r="T186" s="164"/>
      <c r="U186" s="164"/>
      <c r="V186" s="164"/>
      <c r="W186" s="164"/>
      <c r="X186" s="164"/>
      <c r="Y186" s="164"/>
      <c r="Z186" s="164"/>
    </row>
    <row r="187" ht="13.5" customHeight="1">
      <c r="A187" s="164">
        <f t="shared" si="3"/>
        <v>185</v>
      </c>
      <c r="B187" s="171" t="s">
        <v>824</v>
      </c>
      <c r="C187" s="164" t="str">
        <f>VLOOKUP(B187,HECVAT!A:E,2,FALSE)</f>
        <v>Do you have software testing processes (dynamic or static) that are established and followed?</v>
      </c>
      <c r="D187" s="164" t="str">
        <f>VLOOKUP(B187,HECVAT!A:E,4,FALSE)</f>
        <v>(1) Requirements created 
(2) Test Plan started 
(3) code pushed to dev environment 
(4) test plan modified 
(5) test plan succeeds/fails 
(6) code move to staging environment, retested 
(7) deployed</v>
      </c>
      <c r="E187" s="174" t="b">
        <f>IF(Questions!$K187&gt;20,TRUE,FALSE)</f>
        <v>0</v>
      </c>
      <c r="F187" s="174" t="s">
        <v>2748</v>
      </c>
      <c r="G187" s="171" t="s">
        <v>92</v>
      </c>
      <c r="H187" s="176">
        <v>1.0</v>
      </c>
      <c r="I187" s="164" t="str">
        <f>VLOOKUP(B187,HECVAT!A:E,3,FALSE)</f>
        <v>Yes</v>
      </c>
      <c r="J187" s="164">
        <f>IF(Questions!$G187=Questions!$I187,1,0)</f>
        <v>1</v>
      </c>
      <c r="K187" s="164">
        <f>IF(Questions!$H187=1,20,"")</f>
        <v>20</v>
      </c>
      <c r="L187" s="164">
        <f>IF(Questions!$H187=1,J187*K187,"")</f>
        <v>20</v>
      </c>
      <c r="M187" s="180"/>
      <c r="N187" s="180"/>
      <c r="O187" s="180"/>
      <c r="P187" s="180"/>
      <c r="Q187" s="180"/>
      <c r="R187" s="180"/>
      <c r="S187" s="180" t="str">
        <f>VLOOKUP($B187,'Standards Crosswalk'!$A:$I,9,FALSE)</f>
        <v>6.3.2, 6.4.5.3</v>
      </c>
      <c r="T187" s="164"/>
      <c r="U187" s="164"/>
      <c r="V187" s="164"/>
      <c r="W187" s="164"/>
      <c r="X187" s="164"/>
      <c r="Y187" s="164"/>
      <c r="Z187" s="164"/>
    </row>
    <row r="188" ht="13.5" customHeight="1">
      <c r="A188" s="164">
        <f t="shared" si="3"/>
        <v>186</v>
      </c>
      <c r="B188" s="171" t="s">
        <v>829</v>
      </c>
      <c r="C188" s="164" t="str">
        <f>VLOOKUP(B188,HECVAT!A:E,2,FALSE)</f>
        <v>Are information security principles designed into the product lifecycle?</v>
      </c>
      <c r="D188" s="212" t="str">
        <f>VLOOKUP(B188,HECVAT!A:E,4,FALSE)</f>
        <v>(1) Requirements provided / reviewed by software team for security issues 
(2) Code peer reviewed, comments reviewed 
(3) Test plan created and reviewed by software team 
(4) Tests/automated testing</v>
      </c>
      <c r="E188" s="174" t="b">
        <f>IF(Questions!$K188&gt;20,TRUE,FALSE)</f>
        <v>0</v>
      </c>
      <c r="F188" s="174" t="s">
        <v>2748</v>
      </c>
      <c r="G188" s="171" t="s">
        <v>92</v>
      </c>
      <c r="H188" s="176">
        <v>1.0</v>
      </c>
      <c r="I188" s="164" t="str">
        <f>VLOOKUP(B188,HECVAT!A:E,3,FALSE)</f>
        <v>Yes</v>
      </c>
      <c r="J188" s="164">
        <f>IF(Questions!$G188=Questions!$I188,1,0)</f>
        <v>1</v>
      </c>
      <c r="K188" s="164">
        <f>IF(Questions!$H188=1,20,"")</f>
        <v>20</v>
      </c>
      <c r="L188" s="164">
        <f>IF(Questions!$H188=1,J188*K188,"")</f>
        <v>20</v>
      </c>
      <c r="M188" s="180" t="str">
        <f>VLOOKUP($B188,'Standards Crosswalk'!$A:$H,3,FALSE)</f>
        <v>CSC 4</v>
      </c>
      <c r="N188" s="180" t="str">
        <f>VLOOKUP($B188,'Standards Crosswalk'!$A:$H,4,FALSE)</f>
        <v/>
      </c>
      <c r="O188" s="180" t="str">
        <f>VLOOKUP($B188,'Standards Crosswalk'!$A:$H,5,FALSE)</f>
        <v>14.2.1</v>
      </c>
      <c r="P188" s="180" t="str">
        <f>VLOOKUP($B188,'Standards Crosswalk'!$A:$H,6,FALSE)</f>
        <v/>
      </c>
      <c r="Q188" s="180" t="str">
        <f>VLOOKUP($B188,'Standards Crosswalk'!$A:$H,7,FALSE)</f>
        <v>3.13.2</v>
      </c>
      <c r="R188" s="180" t="str">
        <f>VLOOKUP($B188,'Standards Crosswalk'!$A:$H,8,FALSE)</f>
        <v>CA-5, PM-1</v>
      </c>
      <c r="S188" s="180" t="str">
        <f>VLOOKUP($B188,'Standards Crosswalk'!$A:$I,9,FALSE)</f>
        <v>6.3, 6.3.1</v>
      </c>
      <c r="T188" s="164"/>
      <c r="U188" s="164"/>
      <c r="V188" s="164"/>
      <c r="W188" s="164"/>
      <c r="X188" s="164"/>
      <c r="Y188" s="164"/>
      <c r="Z188" s="164"/>
    </row>
    <row r="189" ht="13.5" customHeight="1">
      <c r="A189" s="164">
        <f t="shared" si="3"/>
        <v>187</v>
      </c>
      <c r="B189" s="171" t="s">
        <v>833</v>
      </c>
      <c r="C189" s="164" t="str">
        <f>VLOOKUP(B189,HECVAT!A:E,2,FALSE)</f>
        <v>Do you have a documented systems development life cycle (SDLC)?</v>
      </c>
      <c r="D189" s="212" t="str">
        <f>VLOOKUP(B189,HECVAT!A:E,4,FALSE)</f>
        <v>Agile</v>
      </c>
      <c r="E189" s="174" t="b">
        <f>IF(Questions!$K189&gt;20,TRUE,FALSE)</f>
        <v>0</v>
      </c>
      <c r="F189" s="174" t="s">
        <v>2748</v>
      </c>
      <c r="G189" s="171" t="s">
        <v>92</v>
      </c>
      <c r="H189" s="176">
        <v>1.0</v>
      </c>
      <c r="I189" s="164" t="str">
        <f>VLOOKUP(B189,HECVAT!A:E,3,FALSE)</f>
        <v>No</v>
      </c>
      <c r="J189" s="164">
        <f>IF(Questions!$G189=Questions!$I189,1,0)</f>
        <v>0</v>
      </c>
      <c r="K189" s="164">
        <f>IF(Questions!$H189=1,20,"")</f>
        <v>20</v>
      </c>
      <c r="L189" s="164">
        <f>IF(Questions!$H189=1,J189*K189,"")</f>
        <v>0</v>
      </c>
      <c r="M189" s="180" t="str">
        <f>VLOOKUP($B189,'Standards Crosswalk'!$A:$H,3,FALSE)</f>
        <v>CSC 4</v>
      </c>
      <c r="N189" s="180" t="str">
        <f>VLOOKUP($B189,'Standards Crosswalk'!$A:$H,4,FALSE)</f>
        <v/>
      </c>
      <c r="O189" s="180" t="str">
        <f>VLOOKUP($B189,'Standards Crosswalk'!$A:$H,5,FALSE)</f>
        <v>14.2.1</v>
      </c>
      <c r="P189" s="180" t="str">
        <f>VLOOKUP($B189,'Standards Crosswalk'!$A:$H,6,FALSE)</f>
        <v>PR.IP-2</v>
      </c>
      <c r="Q189" s="180" t="str">
        <f>VLOOKUP($B189,'Standards Crosswalk'!$A:$H,7,FALSE)</f>
        <v/>
      </c>
      <c r="R189" s="180" t="str">
        <f>VLOOKUP($B189,'Standards Crosswalk'!$A:$H,8,FALSE)</f>
        <v>CM-3, SA-15, SA-3, SA-8, SC-2, CA-5, PM-1</v>
      </c>
      <c r="S189" s="180" t="str">
        <f>VLOOKUP($B189,'Standards Crosswalk'!$A:$I,9,FALSE)</f>
        <v>6.3.2</v>
      </c>
      <c r="T189" s="164"/>
      <c r="U189" s="164"/>
      <c r="V189" s="164"/>
      <c r="W189" s="164"/>
      <c r="X189" s="164"/>
      <c r="Y189" s="164"/>
      <c r="Z189" s="164"/>
    </row>
    <row r="190" ht="13.5" customHeight="1">
      <c r="A190" s="164">
        <f t="shared" si="3"/>
        <v>188</v>
      </c>
      <c r="B190" s="171" t="s">
        <v>838</v>
      </c>
      <c r="C190" s="164" t="str">
        <f>VLOOKUP(B190,HECVAT!A:E,2,FALSE)</f>
        <v>Do you have a formal incident response plan?</v>
      </c>
      <c r="D190" s="212" t="str">
        <f>VLOOKUP(B190,HECVAT!A:E,4,FALSE)</f>
        <v>All incidents are reported within 48 hours of identification; updates provided as needed.</v>
      </c>
      <c r="E190" s="174" t="b">
        <f>IF(Questions!$K190&gt;20,TRUE,FALSE)</f>
        <v>1</v>
      </c>
      <c r="F190" s="174" t="s">
        <v>2748</v>
      </c>
      <c r="G190" s="171" t="s">
        <v>92</v>
      </c>
      <c r="H190" s="176">
        <v>1.0</v>
      </c>
      <c r="I190" s="164" t="str">
        <f>VLOOKUP(B190,HECVAT!A:E,3,FALSE)</f>
        <v>Yes</v>
      </c>
      <c r="J190" s="164">
        <f>IF(Questions!$G190=Questions!$I190,1,0)</f>
        <v>1</v>
      </c>
      <c r="K190" s="164">
        <f>IF(Questions!$H190=1,25,"")</f>
        <v>25</v>
      </c>
      <c r="L190" s="164">
        <f>IF(Questions!$H190=1,J190*K190,"")</f>
        <v>25</v>
      </c>
      <c r="M190" s="180" t="str">
        <f>VLOOKUP($B190,'Standards Crosswalk'!$A:$H,3,FALSE)</f>
        <v>CSC 19</v>
      </c>
      <c r="N190" s="180" t="str">
        <f>VLOOKUP($B190,'Standards Crosswalk'!$A:$H,4,FALSE)</f>
        <v/>
      </c>
      <c r="O190" s="180" t="str">
        <f>VLOOKUP($B190,'Standards Crosswalk'!$A:$H,5,FALSE)</f>
        <v>16.1.5</v>
      </c>
      <c r="P190" s="180" t="str">
        <f>VLOOKUP($B190,'Standards Crosswalk'!$A:$H,6,FALSE)</f>
        <v>PR.IP-9</v>
      </c>
      <c r="Q190" s="180" t="str">
        <f>VLOOKUP($B190,'Standards Crosswalk'!$A:$H,7,FALSE)</f>
        <v>3.6.1, 3.12.2</v>
      </c>
      <c r="R190" s="180" t="str">
        <f>VLOOKUP($B190,'Standards Crosswalk'!$A:$H,8,FALSE)</f>
        <v>CA-5, PM-1, IR-4, IR-5, IR-7, IR-8</v>
      </c>
      <c r="S190" s="180" t="str">
        <f>VLOOKUP($B190,'Standards Crosswalk'!$A:$I,9,FALSE)</f>
        <v>12.10, 12.8, 12.9</v>
      </c>
      <c r="T190" s="164"/>
      <c r="U190" s="164"/>
      <c r="V190" s="164"/>
      <c r="W190" s="164"/>
      <c r="X190" s="164"/>
      <c r="Y190" s="164"/>
      <c r="Z190" s="164"/>
    </row>
    <row r="191" ht="13.5" customHeight="1">
      <c r="A191" s="164">
        <f t="shared" si="3"/>
        <v>189</v>
      </c>
      <c r="B191" s="171" t="s">
        <v>844</v>
      </c>
      <c r="C191" s="164" t="str">
        <f>VLOOKUP(B191,HECVAT!A:E,2,FALSE)</f>
        <v>Will you comply with applicable breach notification laws?</v>
      </c>
      <c r="D191" s="212" t="str">
        <f>VLOOKUP(B191,HECVAT!A:E,4,FALSE)</f>
        <v>48hrs</v>
      </c>
      <c r="E191" s="174" t="b">
        <f>IF(Questions!$K191&gt;20,TRUE,FALSE)</f>
        <v>1</v>
      </c>
      <c r="F191" s="174" t="s">
        <v>2748</v>
      </c>
      <c r="G191" s="171" t="s">
        <v>92</v>
      </c>
      <c r="H191" s="176">
        <v>1.0</v>
      </c>
      <c r="I191" s="164" t="str">
        <f>VLOOKUP(B191,HECVAT!A:E,3,FALSE)</f>
        <v>Yes</v>
      </c>
      <c r="J191" s="164">
        <f>IF(Questions!$G191=Questions!$I191,1,0)</f>
        <v>1</v>
      </c>
      <c r="K191" s="164">
        <f>IF(Questions!$H191=1,25,"")</f>
        <v>25</v>
      </c>
      <c r="L191" s="164">
        <f>IF(Questions!$H191=1,J191*K191,"")</f>
        <v>25</v>
      </c>
      <c r="M191" s="180" t="str">
        <f>VLOOKUP($B191,'Standards Crosswalk'!$A:$H,3,FALSE)</f>
        <v>CSC 19</v>
      </c>
      <c r="N191" s="180" t="str">
        <f>VLOOKUP($B191,'Standards Crosswalk'!$A:$H,4,FALSE)</f>
        <v/>
      </c>
      <c r="O191" s="180" t="str">
        <f>VLOOKUP($B191,'Standards Crosswalk'!$A:$H,5,FALSE)</f>
        <v>18.1.1</v>
      </c>
      <c r="P191" s="180" t="str">
        <f>VLOOKUP($B191,'Standards Crosswalk'!$A:$H,6,FALSE)</f>
        <v>ID.GV-3</v>
      </c>
      <c r="Q191" s="180" t="str">
        <f>VLOOKUP($B191,'Standards Crosswalk'!$A:$H,7,FALSE)</f>
        <v>3.6.2,</v>
      </c>
      <c r="R191" s="180" t="str">
        <f>VLOOKUP($B191,'Standards Crosswalk'!$A:$H,8,FALSE)</f>
        <v>CA-5, PM-1, IR-4, IR-5, IR-6, IR-7, IR-8</v>
      </c>
      <c r="S191" s="180">
        <f>VLOOKUP($B191,'Standards Crosswalk'!$A:$I,9,FALSE)</f>
        <v>12.8</v>
      </c>
      <c r="T191" s="164"/>
      <c r="U191" s="164"/>
      <c r="V191" s="164"/>
      <c r="W191" s="164"/>
      <c r="X191" s="164"/>
      <c r="Y191" s="164"/>
      <c r="Z191" s="164"/>
    </row>
    <row r="192" ht="13.5" customHeight="1">
      <c r="A192" s="164">
        <f t="shared" si="3"/>
        <v>190</v>
      </c>
      <c r="B192" s="171" t="s">
        <v>848</v>
      </c>
      <c r="C192" s="164" t="str">
        <f>VLOOKUP(B192,HECVAT!A:E,2,FALSE)</f>
        <v>Will you comply with the Institution's IT policies with regards to user privacy and data protection?</v>
      </c>
      <c r="D192" s="212" t="str">
        <f>VLOOKUP(B192,HECVAT!A:E,4,FALSE)</f>
        <v/>
      </c>
      <c r="E192" s="174" t="b">
        <f>IF(Questions!$K192&gt;20,TRUE,FALSE)</f>
        <v>0</v>
      </c>
      <c r="F192" s="174" t="s">
        <v>2748</v>
      </c>
      <c r="G192" s="171" t="s">
        <v>92</v>
      </c>
      <c r="H192" s="176">
        <v>1.0</v>
      </c>
      <c r="I192" s="164" t="str">
        <f>VLOOKUP(B192,HECVAT!A:E,3,FALSE)</f>
        <v>Yes</v>
      </c>
      <c r="J192" s="164">
        <f>IF(Questions!$G192=Questions!$I192,1,0)</f>
        <v>1</v>
      </c>
      <c r="K192" s="164">
        <f>IF(Questions!$H192=1,15,"")</f>
        <v>15</v>
      </c>
      <c r="L192" s="164">
        <f>IF(Questions!$H192=1,J192*K192,"")</f>
        <v>15</v>
      </c>
      <c r="M192" s="180" t="str">
        <f>VLOOKUP($B192,'Standards Crosswalk'!$A:$H,3,FALSE)</f>
        <v>CSC 13</v>
      </c>
      <c r="N192" s="180" t="str">
        <f>VLOOKUP($B192,'Standards Crosswalk'!$A:$H,4,FALSE)</f>
        <v/>
      </c>
      <c r="O192" s="180" t="str">
        <f>VLOOKUP($B192,'Standards Crosswalk'!$A:$H,5,FALSE)</f>
        <v>18.1.1</v>
      </c>
      <c r="P192" s="180" t="str">
        <f>VLOOKUP($B192,'Standards Crosswalk'!$A:$H,6,FALSE)</f>
        <v/>
      </c>
      <c r="Q192" s="180" t="str">
        <f>VLOOKUP($B192,'Standards Crosswalk'!$A:$H,7,FALSE)</f>
        <v>3.6.2</v>
      </c>
      <c r="R192" s="180" t="str">
        <f>VLOOKUP($B192,'Standards Crosswalk'!$A:$H,8,FALSE)</f>
        <v>CA-2, SA-15, CA-5, PM-1, IR-4, IR-5, IR-6, R-7, IR-8</v>
      </c>
      <c r="S192" s="180">
        <f>VLOOKUP($B192,'Standards Crosswalk'!$A:$I,9,FALSE)</f>
        <v>12.8</v>
      </c>
      <c r="T192" s="164"/>
      <c r="U192" s="164"/>
      <c r="V192" s="164"/>
      <c r="W192" s="164"/>
      <c r="X192" s="164"/>
      <c r="Y192" s="164"/>
      <c r="Z192" s="164"/>
    </row>
    <row r="193" ht="13.5" customHeight="1">
      <c r="A193" s="164">
        <f t="shared" si="3"/>
        <v>191</v>
      </c>
      <c r="B193" s="171" t="s">
        <v>851</v>
      </c>
      <c r="C193" s="164" t="str">
        <f>VLOOKUP(B193,HECVAT!A:E,2,FALSE)</f>
        <v>Is your company subject to Institution's Data Zone laws and regulations?</v>
      </c>
      <c r="D193" s="212" t="str">
        <f>VLOOKUP(B193,HECVAT!A:E,4,FALSE)</f>
        <v/>
      </c>
      <c r="E193" s="174" t="b">
        <f>IF(Questions!$K193&gt;20,TRUE,FALSE)</f>
        <v>0</v>
      </c>
      <c r="F193" s="174" t="s">
        <v>2748</v>
      </c>
      <c r="G193" s="171" t="s">
        <v>92</v>
      </c>
      <c r="H193" s="176">
        <v>1.0</v>
      </c>
      <c r="I193" s="164" t="str">
        <f>VLOOKUP(B193,HECVAT!A:E,3,FALSE)</f>
        <v>Yes</v>
      </c>
      <c r="J193" s="164">
        <f>IF(Questions!$G193=Questions!$I193,1,0)</f>
        <v>1</v>
      </c>
      <c r="K193" s="164">
        <f>IF(Questions!$H193=1,20,"")</f>
        <v>20</v>
      </c>
      <c r="L193" s="164">
        <f>IF(Questions!$H193=1,J193*K193,"")</f>
        <v>20</v>
      </c>
      <c r="M193" s="180" t="str">
        <f>VLOOKUP($B193,'Standards Crosswalk'!$A:$H,3,FALSE)</f>
        <v>CSC 19</v>
      </c>
      <c r="N193" s="180" t="str">
        <f>VLOOKUP($B193,'Standards Crosswalk'!$A:$H,4,FALSE)</f>
        <v/>
      </c>
      <c r="O193" s="180" t="str">
        <f>VLOOKUP($B193,'Standards Crosswalk'!$A:$H,5,FALSE)</f>
        <v>18.1.1</v>
      </c>
      <c r="P193" s="180" t="str">
        <f>VLOOKUP($B193,'Standards Crosswalk'!$A:$H,6,FALSE)</f>
        <v>ID.GV-3</v>
      </c>
      <c r="Q193" s="180" t="str">
        <f>VLOOKUP($B193,'Standards Crosswalk'!$A:$H,7,FALSE)</f>
        <v/>
      </c>
      <c r="R193" s="180" t="str">
        <f>VLOOKUP($B193,'Standards Crosswalk'!$A:$H,8,FALSE)</f>
        <v>CA-5, PM-1</v>
      </c>
      <c r="S193" s="180" t="str">
        <f>VLOOKUP($B193,'Standards Crosswalk'!$A:$I,9,FALSE)</f>
        <v/>
      </c>
      <c r="T193" s="164"/>
      <c r="U193" s="164"/>
      <c r="V193" s="164"/>
      <c r="W193" s="164"/>
      <c r="X193" s="164"/>
      <c r="Y193" s="164"/>
      <c r="Z193" s="164"/>
    </row>
    <row r="194" ht="13.5" customHeight="1">
      <c r="A194" s="164">
        <f t="shared" si="3"/>
        <v>192</v>
      </c>
      <c r="B194" s="171" t="s">
        <v>853</v>
      </c>
      <c r="C194" s="164" t="str">
        <f>VLOOKUP(B194,HECVAT!A:E,2,FALSE)</f>
        <v>Do you perform background screenings or multi-state background checks on all employees prior to their first day of work?</v>
      </c>
      <c r="D194" s="212" t="str">
        <f>VLOOKUP(B194,HECVAT!A:E,4,FALSE)</f>
        <v>Only for technology and finance teams</v>
      </c>
      <c r="E194" s="174" t="b">
        <f>IF(Questions!$K194&gt;20,TRUE,FALSE)</f>
        <v>0</v>
      </c>
      <c r="F194" s="174" t="s">
        <v>2748</v>
      </c>
      <c r="G194" s="171" t="s">
        <v>92</v>
      </c>
      <c r="H194" s="176">
        <v>1.0</v>
      </c>
      <c r="I194" s="164" t="str">
        <f>VLOOKUP(B194,HECVAT!A:E,3,FALSE)</f>
        <v>Yes</v>
      </c>
      <c r="J194" s="164">
        <f>IF(Questions!$G194=Questions!$I194,1,0)</f>
        <v>1</v>
      </c>
      <c r="K194" s="164">
        <f>IF(Questions!$H194=1,15,"")</f>
        <v>15</v>
      </c>
      <c r="L194" s="164">
        <f>IF(Questions!$H194=1,J194*K194,"")</f>
        <v>15</v>
      </c>
      <c r="M194" s="180" t="str">
        <f>VLOOKUP($B194,'Standards Crosswalk'!$A:$H,3,FALSE)</f>
        <v>CSC 5</v>
      </c>
      <c r="N194" s="180" t="str">
        <f>VLOOKUP($B194,'Standards Crosswalk'!$A:$H,4,FALSE)</f>
        <v/>
      </c>
      <c r="O194" s="180" t="str">
        <f>VLOOKUP($B194,'Standards Crosswalk'!$A:$H,5,FALSE)</f>
        <v>7.1.1</v>
      </c>
      <c r="P194" s="180" t="str">
        <f>VLOOKUP($B194,'Standards Crosswalk'!$A:$H,6,FALSE)</f>
        <v>PR.IP-11</v>
      </c>
      <c r="Q194" s="180" t="str">
        <f>VLOOKUP($B194,'Standards Crosswalk'!$A:$H,7,FALSE)</f>
        <v>3.9.1</v>
      </c>
      <c r="R194" s="180" t="str">
        <f>VLOOKUP($B194,'Standards Crosswalk'!$A:$H,8,FALSE)</f>
        <v>CA-5, PM-1, PS-3</v>
      </c>
      <c r="S194" s="180">
        <f>VLOOKUP($B194,'Standards Crosswalk'!$A:$I,9,FALSE)</f>
        <v>12.7</v>
      </c>
      <c r="T194" s="164"/>
      <c r="U194" s="164"/>
      <c r="V194" s="164"/>
      <c r="W194" s="164"/>
      <c r="X194" s="164"/>
      <c r="Y194" s="164"/>
      <c r="Z194" s="164"/>
    </row>
    <row r="195" ht="13.5" customHeight="1">
      <c r="A195" s="164">
        <f t="shared" si="3"/>
        <v>193</v>
      </c>
      <c r="B195" s="171" t="s">
        <v>859</v>
      </c>
      <c r="C195" s="164" t="str">
        <f>VLOOKUP(B195,HECVAT!A:E,2,FALSE)</f>
        <v>Do you require new employees to fill out agreements and review policies?  </v>
      </c>
      <c r="D195" s="212" t="str">
        <f>VLOOKUP(B195,HECVAT!A:E,4,FALSE)</f>
        <v/>
      </c>
      <c r="E195" s="174" t="b">
        <f>IF(Questions!$K195&gt;20,TRUE,FALSE)</f>
        <v>0</v>
      </c>
      <c r="F195" s="174" t="s">
        <v>2748</v>
      </c>
      <c r="G195" s="171" t="s">
        <v>92</v>
      </c>
      <c r="H195" s="176">
        <v>1.0</v>
      </c>
      <c r="I195" s="164" t="str">
        <f>VLOOKUP(B195,HECVAT!A:E,3,FALSE)</f>
        <v>Yes</v>
      </c>
      <c r="J195" s="164">
        <f>IF(Questions!$G195=Questions!$I195,1,0)</f>
        <v>1</v>
      </c>
      <c r="K195" s="164">
        <f>IF(Questions!$H195=1,15,"")</f>
        <v>15</v>
      </c>
      <c r="L195" s="164">
        <f>IF(Questions!$H195=1,J195*K195,"")</f>
        <v>15</v>
      </c>
      <c r="M195" s="180" t="str">
        <f>VLOOKUP($B195,'Standards Crosswalk'!$A:$H,3,FALSE)</f>
        <v>CSC 17</v>
      </c>
      <c r="N195" s="180" t="str">
        <f>VLOOKUP($B195,'Standards Crosswalk'!$A:$H,4,FALSE)</f>
        <v/>
      </c>
      <c r="O195" s="180" t="str">
        <f>VLOOKUP($B195,'Standards Crosswalk'!$A:$H,5,FALSE)</f>
        <v>7.1.2</v>
      </c>
      <c r="P195" s="180" t="str">
        <f>VLOOKUP($B195,'Standards Crosswalk'!$A:$H,6,FALSE)</f>
        <v>PR.IP-11</v>
      </c>
      <c r="Q195" s="180" t="str">
        <f>VLOOKUP($B195,'Standards Crosswalk'!$A:$H,7,FALSE)</f>
        <v/>
      </c>
      <c r="R195" s="180" t="str">
        <f>VLOOKUP($B195,'Standards Crosswalk'!$A:$H,8,FALSE)</f>
        <v>CA-5, PM-1</v>
      </c>
      <c r="S195" s="180" t="str">
        <f>VLOOKUP($B195,'Standards Crosswalk'!$A:$I,9,FALSE)</f>
        <v>12.6, 7.x, 8.x, 9.x</v>
      </c>
      <c r="T195" s="164"/>
      <c r="U195" s="164"/>
      <c r="V195" s="164"/>
      <c r="W195" s="164"/>
      <c r="X195" s="164"/>
      <c r="Y195" s="164"/>
      <c r="Z195" s="164"/>
    </row>
    <row r="196" ht="13.5" customHeight="1">
      <c r="A196" s="164">
        <f t="shared" si="3"/>
        <v>194</v>
      </c>
      <c r="B196" s="171" t="s">
        <v>864</v>
      </c>
      <c r="C196" s="164" t="str">
        <f>VLOOKUP(B196,HECVAT!A:E,2,FALSE)</f>
        <v>Do you have documented information security policy?</v>
      </c>
      <c r="D196" s="212" t="str">
        <f>VLOOKUP(B196,HECVAT!A:E,4,FALSE)</f>
        <v>In our company handbook, there is a section on information security.  IT team has an internal wiki with more detailed info</v>
      </c>
      <c r="E196" s="174" t="b">
        <f>IF(Questions!$K196&gt;20,TRUE,FALSE)</f>
        <v>1</v>
      </c>
      <c r="F196" s="174" t="s">
        <v>2748</v>
      </c>
      <c r="G196" s="171" t="s">
        <v>92</v>
      </c>
      <c r="H196" s="176">
        <v>1.0</v>
      </c>
      <c r="I196" s="164" t="str">
        <f>VLOOKUP(B196,HECVAT!A:E,3,FALSE)</f>
        <v>Yes</v>
      </c>
      <c r="J196" s="164">
        <f>IF(Questions!$G196=Questions!$I196,1,0)</f>
        <v>1</v>
      </c>
      <c r="K196" s="164">
        <f>IF(Questions!$H196=1,25,"")</f>
        <v>25</v>
      </c>
      <c r="L196" s="164">
        <f>IF(Questions!$H196=1,J196*K196,"")</f>
        <v>25</v>
      </c>
      <c r="M196" s="180" t="str">
        <f>VLOOKUP($B196,'Standards Crosswalk'!$A:$H,3,FALSE)</f>
        <v>CSC 17</v>
      </c>
      <c r="N196" s="180" t="str">
        <f>VLOOKUP($B196,'Standards Crosswalk'!$A:$H,4,FALSE)</f>
        <v>§164.308(a)(1)(i)</v>
      </c>
      <c r="O196" s="180" t="str">
        <f>VLOOKUP($B196,'Standards Crosswalk'!$A:$H,5,FALSE)</f>
        <v>5.1.1</v>
      </c>
      <c r="P196" s="180" t="str">
        <f>VLOOKUP($B196,'Standards Crosswalk'!$A:$H,6,FALSE)</f>
        <v>ID.GV-3</v>
      </c>
      <c r="Q196" s="180" t="str">
        <f>VLOOKUP($B196,'Standards Crosswalk'!$A:$H,7,FALSE)</f>
        <v/>
      </c>
      <c r="R196" s="180" t="str">
        <f>VLOOKUP($B196,'Standards Crosswalk'!$A:$H,8,FALSE)</f>
        <v>CA-5, PM-1</v>
      </c>
      <c r="S196" s="180" t="str">
        <f>VLOOKUP($B196,'Standards Crosswalk'!$A:$I,9,FALSE)</f>
        <v>12.1, 5.4 (?)</v>
      </c>
      <c r="T196" s="164"/>
      <c r="U196" s="164"/>
      <c r="V196" s="164"/>
      <c r="W196" s="164"/>
      <c r="X196" s="164"/>
      <c r="Y196" s="164"/>
      <c r="Z196" s="164"/>
    </row>
    <row r="197" ht="13.5" customHeight="1">
      <c r="A197" s="164">
        <f t="shared" si="3"/>
        <v>195</v>
      </c>
      <c r="B197" s="171" t="s">
        <v>867</v>
      </c>
      <c r="C197" s="164" t="str">
        <f>VLOOKUP(B197,HECVAT!A:E,2,FALSE)</f>
        <v>Do you have an information security awareness program?</v>
      </c>
      <c r="D197" s="212" t="str">
        <f>VLOOKUP(B197,HECVAT!A:E,4,FALSE)</f>
        <v>Once a year we have a day long information security training; training is mandatory</v>
      </c>
      <c r="E197" s="174" t="b">
        <f>IF(Questions!$K197&gt;20,TRUE,FALSE)</f>
        <v>1</v>
      </c>
      <c r="F197" s="174" t="s">
        <v>2748</v>
      </c>
      <c r="G197" s="171" t="s">
        <v>92</v>
      </c>
      <c r="H197" s="176">
        <v>1.0</v>
      </c>
      <c r="I197" s="164" t="str">
        <f>VLOOKUP(B197,HECVAT!A:E,3,FALSE)</f>
        <v>Yes</v>
      </c>
      <c r="J197" s="164">
        <f>IF(Questions!$G197=Questions!$I197,1,0)</f>
        <v>1</v>
      </c>
      <c r="K197" s="164">
        <f>IF(Questions!$H197=1,25,"")</f>
        <v>25</v>
      </c>
      <c r="L197" s="164">
        <f>IF(Questions!$H197=1,J197*K197,"")</f>
        <v>25</v>
      </c>
      <c r="M197" s="180" t="str">
        <f>VLOOKUP($B197,'Standards Crosswalk'!$A:$H,3,FALSE)</f>
        <v>CSC 17</v>
      </c>
      <c r="N197" s="180" t="str">
        <f>VLOOKUP($B197,'Standards Crosswalk'!$A:$H,4,FALSE)</f>
        <v>§164.308(a)(5)(i)</v>
      </c>
      <c r="O197" s="180" t="str">
        <f>VLOOKUP($B197,'Standards Crosswalk'!$A:$H,5,FALSE)</f>
        <v>7.2.2</v>
      </c>
      <c r="P197" s="180" t="str">
        <f>VLOOKUP($B197,'Standards Crosswalk'!$A:$H,6,FALSE)</f>
        <v>PR.AT-1</v>
      </c>
      <c r="Q197" s="180" t="str">
        <f>VLOOKUP($B197,'Standards Crosswalk'!$A:$H,7,FALSE)</f>
        <v>3.2.1</v>
      </c>
      <c r="R197" s="180" t="str">
        <f>VLOOKUP($B197,'Standards Crosswalk'!$A:$H,8,FALSE)</f>
        <v>AT-2, CA-5, PM-1</v>
      </c>
      <c r="S197" s="180">
        <f>VLOOKUP($B197,'Standards Crosswalk'!$A:$I,9,FALSE)</f>
        <v>12.6</v>
      </c>
      <c r="T197" s="164"/>
      <c r="U197" s="164"/>
      <c r="V197" s="164"/>
      <c r="W197" s="164"/>
      <c r="X197" s="164"/>
      <c r="Y197" s="164"/>
      <c r="Z197" s="164"/>
    </row>
    <row r="198" ht="13.5" customHeight="1">
      <c r="A198" s="164">
        <f t="shared" si="3"/>
        <v>196</v>
      </c>
      <c r="B198" s="171" t="s">
        <v>874</v>
      </c>
      <c r="C198" s="164" t="str">
        <f>VLOOKUP(B198,HECVAT!A:E,2,FALSE)</f>
        <v>Is security awareness training mandatory for all employees?</v>
      </c>
      <c r="D198" s="212" t="str">
        <f>VLOOKUP(B198,HECVAT!A:E,4,FALSE)</f>
        <v/>
      </c>
      <c r="E198" s="174" t="b">
        <f>IF(Questions!$K198&gt;20,TRUE,FALSE)</f>
        <v>0</v>
      </c>
      <c r="F198" s="174" t="s">
        <v>2748</v>
      </c>
      <c r="G198" s="171" t="s">
        <v>92</v>
      </c>
      <c r="H198" s="176">
        <v>1.0</v>
      </c>
      <c r="I198" s="164" t="str">
        <f>VLOOKUP(B198,HECVAT!A:E,3,FALSE)</f>
        <v>Yes</v>
      </c>
      <c r="J198" s="164">
        <f>IF(Questions!$G198=Questions!$I198,1,0)</f>
        <v>1</v>
      </c>
      <c r="K198" s="164">
        <f>IF(Questions!$H198=1,20,"")</f>
        <v>20</v>
      </c>
      <c r="L198" s="164">
        <f>IF(Questions!$H198=1,J198*K198,"")</f>
        <v>20</v>
      </c>
      <c r="M198" s="180" t="str">
        <f>VLOOKUP($B198,'Standards Crosswalk'!$A:$H,3,FALSE)</f>
        <v>CSC 17</v>
      </c>
      <c r="N198" s="180" t="str">
        <f>VLOOKUP($B198,'Standards Crosswalk'!$A:$H,4,FALSE)</f>
        <v>§164.308(a)(5)(i)</v>
      </c>
      <c r="O198" s="180" t="str">
        <f>VLOOKUP($B198,'Standards Crosswalk'!$A:$H,5,FALSE)</f>
        <v>7.2.2</v>
      </c>
      <c r="P198" s="180" t="str">
        <f>VLOOKUP($B198,'Standards Crosswalk'!$A:$H,6,FALSE)</f>
        <v>PR.AT-1</v>
      </c>
      <c r="Q198" s="180" t="str">
        <f>VLOOKUP($B198,'Standards Crosswalk'!$A:$H,7,FALSE)</f>
        <v>3.2.1, 3.2.2, 3.2.3</v>
      </c>
      <c r="R198" s="180" t="str">
        <f>VLOOKUP($B198,'Standards Crosswalk'!$A:$H,8,FALSE)</f>
        <v>AT-2, AT-3, CA-5, PM-1</v>
      </c>
      <c r="S198" s="180">
        <f>VLOOKUP($B198,'Standards Crosswalk'!$A:$I,9,FALSE)</f>
        <v>12.6</v>
      </c>
      <c r="T198" s="164"/>
      <c r="U198" s="164"/>
      <c r="V198" s="164"/>
      <c r="W198" s="164"/>
      <c r="X198" s="164"/>
      <c r="Y198" s="164"/>
      <c r="Z198" s="164"/>
    </row>
    <row r="199" ht="13.5" customHeight="1">
      <c r="A199" s="164">
        <f t="shared" si="3"/>
        <v>197</v>
      </c>
      <c r="B199" s="171" t="s">
        <v>878</v>
      </c>
      <c r="C199" s="164" t="str">
        <f>VLOOKUP(B199,HECVAT!A:E,2,FALSE)</f>
        <v>Do you have process and procedure(s) documented, and currently followed, that require a review and update of the access-list(s) for privileged accounts?</v>
      </c>
      <c r="D199" s="212" t="str">
        <f>VLOOKUP(B199,HECVAT!A:E,4,FALSE)</f>
        <v/>
      </c>
      <c r="E199" s="174" t="b">
        <f>IF(Questions!$K199&gt;20,TRUE,FALSE)</f>
        <v>0</v>
      </c>
      <c r="F199" s="174" t="s">
        <v>2748</v>
      </c>
      <c r="G199" s="171" t="s">
        <v>92</v>
      </c>
      <c r="H199" s="176">
        <v>1.0</v>
      </c>
      <c r="I199" s="164" t="str">
        <f>VLOOKUP(B199,HECVAT!A:E,3,FALSE)</f>
        <v>Yes</v>
      </c>
      <c r="J199" s="164">
        <f>IF(Questions!$G199=Questions!$I199,1,0)</f>
        <v>1</v>
      </c>
      <c r="K199" s="164">
        <f>IF(Questions!$H199=1,20,"")</f>
        <v>20</v>
      </c>
      <c r="L199" s="164">
        <f>IF(Questions!$H199=1,J199*K199,"")</f>
        <v>20</v>
      </c>
      <c r="M199" s="180" t="str">
        <f>VLOOKUP($B199,'Standards Crosswalk'!$A:$H,3,FALSE)</f>
        <v>CSC 17</v>
      </c>
      <c r="N199" s="180" t="str">
        <f>VLOOKUP($B199,'Standards Crosswalk'!$A:$H,4,FALSE)</f>
        <v/>
      </c>
      <c r="O199" s="180" t="str">
        <f>VLOOKUP($B199,'Standards Crosswalk'!$A:$H,5,FALSE)</f>
        <v>9.2.5</v>
      </c>
      <c r="P199" s="180" t="str">
        <f>VLOOKUP($B199,'Standards Crosswalk'!$A:$H,6,FALSE)</f>
        <v>PR.AC-4, PR.PT-3</v>
      </c>
      <c r="Q199" s="180" t="str">
        <f>VLOOKUP($B199,'Standards Crosswalk'!$A:$H,7,FALSE)</f>
        <v>3.1.7</v>
      </c>
      <c r="R199" s="180" t="str">
        <f>VLOOKUP($B199,'Standards Crosswalk'!$A:$H,8,FALSE)</f>
        <v>CA-5, PM-1</v>
      </c>
      <c r="S199" s="180" t="str">
        <f>VLOOKUP($B199,'Standards Crosswalk'!$A:$I,9,FALSE)</f>
        <v>12.1, 12.5, 12.6</v>
      </c>
      <c r="T199" s="164"/>
      <c r="U199" s="164"/>
      <c r="V199" s="164"/>
      <c r="W199" s="164"/>
      <c r="X199" s="164"/>
      <c r="Y199" s="164"/>
      <c r="Z199" s="164"/>
    </row>
    <row r="200" ht="93.75" customHeight="1">
      <c r="A200" s="164">
        <f t="shared" si="3"/>
        <v>198</v>
      </c>
      <c r="B200" s="171" t="s">
        <v>883</v>
      </c>
      <c r="C200" s="164" t="str">
        <f>VLOOKUP(B200,HECVAT!A:E,2,FALSE)</f>
        <v>Do you have documented, and currently implemented, internal audit processes and procedures?</v>
      </c>
      <c r="D200" s="164" t="str">
        <f>VLOOKUP(B200,HECVAT!A:E,4,FALSE)</f>
        <v>We audit our logs once a month to look for any aberrations</v>
      </c>
      <c r="E200" s="174" t="b">
        <f>IF(Questions!$K200&gt;20,TRUE,FALSE)</f>
        <v>0</v>
      </c>
      <c r="F200" s="174" t="s">
        <v>2748</v>
      </c>
      <c r="G200" s="171" t="s">
        <v>92</v>
      </c>
      <c r="H200" s="176">
        <v>1.0</v>
      </c>
      <c r="I200" s="164" t="str">
        <f>VLOOKUP(B200,HECVAT!A:E,3,FALSE)</f>
        <v>Yes</v>
      </c>
      <c r="J200" s="164">
        <f>IF(Questions!$G200=Questions!$I200,1,0)</f>
        <v>1</v>
      </c>
      <c r="K200" s="164">
        <f>IF(Questions!$H200=1,20,"")</f>
        <v>20</v>
      </c>
      <c r="L200" s="164">
        <f>IF(Questions!$H200=1,J200*K200,"")</f>
        <v>20</v>
      </c>
      <c r="M200" s="180" t="str">
        <f>VLOOKUP($B200,'Standards Crosswalk'!$A:$H,3,FALSE)</f>
        <v/>
      </c>
      <c r="N200" s="180" t="str">
        <f>VLOOKUP($B200,'Standards Crosswalk'!$A:$H,4,FALSE)</f>
        <v/>
      </c>
      <c r="O200" s="180" t="str">
        <f>VLOOKUP($B200,'Standards Crosswalk'!$A:$H,5,FALSE)</f>
        <v>12.7.1</v>
      </c>
      <c r="P200" s="180" t="str">
        <f>VLOOKUP($B200,'Standards Crosswalk'!$A:$H,6,FALSE)</f>
        <v/>
      </c>
      <c r="Q200" s="180" t="str">
        <f>VLOOKUP($B200,'Standards Crosswalk'!$A:$H,7,FALSE)</f>
        <v/>
      </c>
      <c r="R200" s="180" t="str">
        <f>VLOOKUP($B200,'Standards Crosswalk'!$A:$H,8,FALSE)</f>
        <v>CA-5, PM-1, PS-4, PS-5, PE-2, PE-3, PE-5, AC-6, RA-3, SA-8, CA-2, NIST SP 800-37; NIST SP 800-39; NIST SP 800-115; NIST SP 800-137</v>
      </c>
      <c r="S200" s="180" t="str">
        <f>VLOOKUP($B200,'Standards Crosswalk'!$A:$I,9,FALSE)</f>
        <v/>
      </c>
      <c r="T200" s="164"/>
      <c r="U200" s="164"/>
      <c r="V200" s="164"/>
      <c r="W200" s="164"/>
      <c r="X200" s="164"/>
      <c r="Y200" s="164"/>
      <c r="Z200" s="164"/>
    </row>
    <row r="201" ht="13.5" customHeight="1">
      <c r="A201" s="164">
        <f t="shared" si="3"/>
        <v>199</v>
      </c>
      <c r="B201" s="171" t="s">
        <v>888</v>
      </c>
      <c r="C201" s="164" t="str">
        <f>VLOOKUP(B201,HECVAT!A:E,2,FALSE)</f>
        <v>Do you incorporate customer feedback into security feature requests?</v>
      </c>
      <c r="D201" s="212" t="str">
        <f>VLOOKUP(B201,HECVAT!A:E,4,FALSE)</f>
        <v>email:  support@ivy.ai</v>
      </c>
      <c r="E201" s="174" t="b">
        <f>IF(Questions!$K201&gt;20,TRUE,FALSE)</f>
        <v>0</v>
      </c>
      <c r="F201" s="174" t="s">
        <v>2836</v>
      </c>
      <c r="G201" s="171" t="s">
        <v>92</v>
      </c>
      <c r="H201" s="176">
        <v>1.0</v>
      </c>
      <c r="I201" s="164" t="str">
        <f>VLOOKUP(B201,HECVAT!A:E,3,FALSE)</f>
        <v>Yes</v>
      </c>
      <c r="J201" s="164">
        <f>IF(Questions!$G201=Questions!$I201,1,0)</f>
        <v>1</v>
      </c>
      <c r="K201" s="164">
        <f>IF(Questions!$H201=1,15,"")</f>
        <v>15</v>
      </c>
      <c r="L201" s="164">
        <f>IF(Questions!$H201=1,J201*K201,"")</f>
        <v>15</v>
      </c>
      <c r="M201" s="180" t="str">
        <f>VLOOKUP($B201,'Standards Crosswalk'!$A:$H,3,FALSE)</f>
        <v/>
      </c>
      <c r="N201" s="180" t="str">
        <f>VLOOKUP($B201,'Standards Crosswalk'!$A:$H,4,FALSE)</f>
        <v/>
      </c>
      <c r="O201" s="180" t="str">
        <f>VLOOKUP($B201,'Standards Crosswalk'!$A:$H,5,FALSE)</f>
        <v/>
      </c>
      <c r="P201" s="180" t="str">
        <f>VLOOKUP($B201,'Standards Crosswalk'!$A:$H,6,FALSE)</f>
        <v/>
      </c>
      <c r="Q201" s="180" t="str">
        <f>VLOOKUP($B201,'Standards Crosswalk'!$A:$H,7,FALSE)</f>
        <v/>
      </c>
      <c r="R201" s="180" t="str">
        <f>VLOOKUP($B201,'Standards Crosswalk'!$A:$H,8,FALSE)</f>
        <v/>
      </c>
      <c r="S201" s="180" t="str">
        <f>VLOOKUP($B201,'Standards Crosswalk'!$A:$I,9,FALSE)</f>
        <v/>
      </c>
      <c r="T201" s="164"/>
      <c r="U201" s="164"/>
      <c r="V201" s="164"/>
      <c r="W201" s="164"/>
      <c r="X201" s="164"/>
      <c r="Y201" s="164"/>
      <c r="Z201" s="164"/>
    </row>
    <row r="202" ht="13.5" customHeight="1">
      <c r="A202" s="164">
        <f t="shared" si="3"/>
        <v>200</v>
      </c>
      <c r="B202" s="171" t="s">
        <v>890</v>
      </c>
      <c r="C202" s="164" t="str">
        <f>VLOOKUP(B202,HECVAT!A:E,2,FALSE)</f>
        <v>Can you provide an evaluation site to the institution for testing?</v>
      </c>
      <c r="D202" s="212" t="str">
        <f>VLOOKUP(B202,HECVAT!A:E,4,FALSE)</f>
        <v>We provide a sandbox link for testing</v>
      </c>
      <c r="E202" s="174" t="b">
        <f>IF(Questions!$K202&gt;20,TRUE,FALSE)</f>
        <v>0</v>
      </c>
      <c r="F202" s="174" t="s">
        <v>2836</v>
      </c>
      <c r="G202" s="171" t="s">
        <v>92</v>
      </c>
      <c r="H202" s="176">
        <v>1.0</v>
      </c>
      <c r="I202" s="164" t="str">
        <f>VLOOKUP(B202,HECVAT!A:E,3,FALSE)</f>
        <v>Yes</v>
      </c>
      <c r="J202" s="164">
        <f>IF(Questions!$G202=Questions!$I202,1,0)</f>
        <v>1</v>
      </c>
      <c r="K202" s="164">
        <f>IF(Questions!$H202=1,15,"")</f>
        <v>15</v>
      </c>
      <c r="L202" s="164">
        <f>IF(Questions!$H202=1,J202*K202,"")</f>
        <v>15</v>
      </c>
      <c r="M202" s="180" t="str">
        <f>VLOOKUP($B202,'Standards Crosswalk'!$A:$H,3,FALSE)</f>
        <v/>
      </c>
      <c r="N202" s="180" t="str">
        <f>VLOOKUP($B202,'Standards Crosswalk'!$A:$H,4,FALSE)</f>
        <v/>
      </c>
      <c r="O202" s="180" t="str">
        <f>VLOOKUP($B202,'Standards Crosswalk'!$A:$H,5,FALSE)</f>
        <v/>
      </c>
      <c r="P202" s="180" t="str">
        <f>VLOOKUP($B202,'Standards Crosswalk'!$A:$H,6,FALSE)</f>
        <v>PR.DS-7</v>
      </c>
      <c r="Q202" s="180" t="str">
        <f>VLOOKUP($B202,'Standards Crosswalk'!$A:$H,7,FALSE)</f>
        <v/>
      </c>
      <c r="R202" s="180" t="str">
        <f>VLOOKUP($B202,'Standards Crosswalk'!$A:$H,8,FALSE)</f>
        <v/>
      </c>
      <c r="S202" s="180" t="str">
        <f>VLOOKUP($B202,'Standards Crosswalk'!$A:$I,9,FALSE)</f>
        <v/>
      </c>
      <c r="T202" s="164"/>
      <c r="U202" s="164"/>
      <c r="V202" s="164"/>
      <c r="W202" s="164"/>
      <c r="X202" s="164"/>
      <c r="Y202" s="164"/>
      <c r="Z202" s="164"/>
    </row>
    <row r="203" ht="13.5" customHeight="1">
      <c r="A203" s="164">
        <f t="shared" si="3"/>
        <v>201</v>
      </c>
      <c r="B203" s="171" t="s">
        <v>894</v>
      </c>
      <c r="C203" s="164" t="str">
        <f>VLOOKUP(B203,HECVAT!A:E,2,FALSE)</f>
        <v>Provide a general summary of your Quality Assurance program.</v>
      </c>
      <c r="D203" s="164" t="str">
        <f>VLOOKUP(B203,HECVAT!A:E,4,FALSE)</f>
        <v/>
      </c>
      <c r="E203" s="174" t="b">
        <f>IF(Questions!$K203&gt;20,TRUE,FALSE)</f>
        <v>0</v>
      </c>
      <c r="F203" s="174" t="s">
        <v>2837</v>
      </c>
      <c r="G203" s="171" t="s">
        <v>92</v>
      </c>
      <c r="H203" s="176">
        <v>1.0</v>
      </c>
      <c r="I203" s="164" t="str">
        <f>VLOOKUP(B203,HECVAT!A:E,3,FALSE)</f>
        <v>1 full time tester, product manager, and dev team test; as mentioned above, testing happens on Dev -&gt; pass/fail -&gt; move to staging pass/fail -&gt; move to production. We leverage automated testing via Bamboo for common repeateable tests (needs updating?)</v>
      </c>
      <c r="J203" s="164">
        <f>IF(VLOOKUP(Questions!$B203,'Analyst Report'!$A$38:$G$85,7,FALSE)="Yes",1,0)</f>
        <v>0</v>
      </c>
      <c r="K203" s="164">
        <f>IF(Questions!$H203=1,15,"")</f>
        <v>15</v>
      </c>
      <c r="L203" s="164">
        <f>IF(Questions!$H203=1,J203*K203,"")</f>
        <v>0</v>
      </c>
      <c r="M203" s="180" t="str">
        <f>VLOOKUP($B203,'Standards Crosswalk'!$A:$H,3,FALSE)</f>
        <v>CSC 13</v>
      </c>
      <c r="N203" s="180" t="str">
        <f>VLOOKUP($B203,'Standards Crosswalk'!$A:$H,4,FALSE)</f>
        <v/>
      </c>
      <c r="O203" s="180" t="str">
        <f>VLOOKUP($B203,'Standards Crosswalk'!$A:$H,5,FALSE)</f>
        <v/>
      </c>
      <c r="P203" s="180" t="str">
        <f>VLOOKUP($B203,'Standards Crosswalk'!$A:$H,6,FALSE)</f>
        <v/>
      </c>
      <c r="Q203" s="180" t="str">
        <f>VLOOKUP($B203,'Standards Crosswalk'!$A:$H,7,FALSE)</f>
        <v/>
      </c>
      <c r="R203" s="180" t="str">
        <f>VLOOKUP($B203,'Standards Crosswalk'!$A:$H,8,FALSE)</f>
        <v/>
      </c>
      <c r="S203" s="180" t="str">
        <f>VLOOKUP($B203,'Standards Crosswalk'!$A:$I,9,FALSE)</f>
        <v/>
      </c>
      <c r="T203" s="164"/>
      <c r="U203" s="164"/>
      <c r="V203" s="164"/>
      <c r="W203" s="164"/>
      <c r="X203" s="164"/>
      <c r="Y203" s="164"/>
      <c r="Z203" s="164"/>
    </row>
    <row r="204" ht="13.5" customHeight="1">
      <c r="A204" s="164">
        <f t="shared" si="3"/>
        <v>202</v>
      </c>
      <c r="B204" s="171" t="s">
        <v>896</v>
      </c>
      <c r="C204" s="164" t="str">
        <f>VLOOKUP(B204,HECVAT!A:E,2,FALSE)</f>
        <v>Do you comply with ISO 9001?</v>
      </c>
      <c r="D204" s="212" t="str">
        <f>VLOOKUP(B204,HECVAT!A:E,4,FALSE)</f>
        <v/>
      </c>
      <c r="E204" s="174" t="b">
        <f>IF(Questions!$K204&gt;20,TRUE,FALSE)</f>
        <v>0</v>
      </c>
      <c r="F204" s="174" t="s">
        <v>2837</v>
      </c>
      <c r="G204" s="171" t="s">
        <v>92</v>
      </c>
      <c r="H204" s="176">
        <v>1.0</v>
      </c>
      <c r="I204" s="164" t="str">
        <f>VLOOKUP(B204,HECVAT!A:E,3,FALSE)</f>
        <v>Yes</v>
      </c>
      <c r="J204" s="164">
        <f>IF(Questions!$G204=Questions!$I204,1,0)</f>
        <v>1</v>
      </c>
      <c r="K204" s="164">
        <f>IF(Questions!$H204=1,15,"")</f>
        <v>15</v>
      </c>
      <c r="L204" s="164">
        <f>IF(Questions!$H204=1,J204*K204,"")</f>
        <v>15</v>
      </c>
      <c r="M204" s="180" t="str">
        <f>VLOOKUP($B204,'Standards Crosswalk'!$A:$H,3,FALSE)</f>
        <v>CSC 13</v>
      </c>
      <c r="N204" s="180" t="str">
        <f>VLOOKUP($B204,'Standards Crosswalk'!$A:$H,4,FALSE)</f>
        <v/>
      </c>
      <c r="O204" s="180" t="str">
        <f>VLOOKUP($B204,'Standards Crosswalk'!$A:$H,5,FALSE)</f>
        <v>18.1.1</v>
      </c>
      <c r="P204" s="180" t="str">
        <f>VLOOKUP($B204,'Standards Crosswalk'!$A:$H,6,FALSE)</f>
        <v/>
      </c>
      <c r="Q204" s="180" t="str">
        <f>VLOOKUP($B204,'Standards Crosswalk'!$A:$H,7,FALSE)</f>
        <v/>
      </c>
      <c r="R204" s="180" t="str">
        <f>VLOOKUP($B204,'Standards Crosswalk'!$A:$H,8,FALSE)</f>
        <v/>
      </c>
      <c r="S204" s="180" t="str">
        <f>VLOOKUP($B204,'Standards Crosswalk'!$A:$I,9,FALSE)</f>
        <v/>
      </c>
      <c r="T204" s="164"/>
      <c r="U204" s="164"/>
      <c r="V204" s="164"/>
      <c r="W204" s="164"/>
      <c r="X204" s="164"/>
      <c r="Y204" s="164"/>
      <c r="Z204" s="164"/>
    </row>
    <row r="205" ht="13.5" customHeight="1">
      <c r="A205" s="164">
        <f t="shared" si="3"/>
        <v>203</v>
      </c>
      <c r="B205" s="171" t="s">
        <v>898</v>
      </c>
      <c r="C205" s="164" t="str">
        <f>VLOOKUP(B205,HECVAT!A:E,2,FALSE)</f>
        <v>Will your company provide quality and performance metrics in relation to the scope of services and performance expectations for the services you are offering?</v>
      </c>
      <c r="D205" s="212" t="str">
        <f>VLOOKUP(B205,HECVAT!A:E,4,FALSE)</f>
        <v>We provide a full audit trail of our work for our partners to review at any time</v>
      </c>
      <c r="E205" s="174" t="b">
        <f>IF(Questions!$K205&gt;20,TRUE,FALSE)</f>
        <v>0</v>
      </c>
      <c r="F205" s="174" t="s">
        <v>2837</v>
      </c>
      <c r="G205" s="171" t="s">
        <v>92</v>
      </c>
      <c r="H205" s="176">
        <v>1.0</v>
      </c>
      <c r="I205" s="164" t="str">
        <f>VLOOKUP(B205,HECVAT!A:E,3,FALSE)</f>
        <v>Yes</v>
      </c>
      <c r="J205" s="164">
        <f>IF(Questions!$G205=Questions!$I205,1,0)</f>
        <v>1</v>
      </c>
      <c r="K205" s="164">
        <f>IF(Questions!$H205=1,15,"")</f>
        <v>15</v>
      </c>
      <c r="L205" s="164">
        <f>IF(Questions!$H205=1,J205*K205,"")</f>
        <v>15</v>
      </c>
      <c r="M205" s="180" t="str">
        <f>VLOOKUP($B205,'Standards Crosswalk'!$A:$H,3,FALSE)</f>
        <v>CSC 13</v>
      </c>
      <c r="N205" s="180" t="str">
        <f>VLOOKUP($B205,'Standards Crosswalk'!$A:$H,4,FALSE)</f>
        <v/>
      </c>
      <c r="O205" s="180" t="str">
        <f>VLOOKUP($B205,'Standards Crosswalk'!$A:$H,5,FALSE)</f>
        <v/>
      </c>
      <c r="P205" s="180" t="str">
        <f>VLOOKUP($B205,'Standards Crosswalk'!$A:$H,6,FALSE)</f>
        <v/>
      </c>
      <c r="Q205" s="180" t="str">
        <f>VLOOKUP($B205,'Standards Crosswalk'!$A:$H,7,FALSE)</f>
        <v/>
      </c>
      <c r="R205" s="180" t="str">
        <f>VLOOKUP($B205,'Standards Crosswalk'!$A:$H,8,FALSE)</f>
        <v/>
      </c>
      <c r="S205" s="180" t="str">
        <f>VLOOKUP($B205,'Standards Crosswalk'!$A:$I,9,FALSE)</f>
        <v/>
      </c>
      <c r="T205" s="164"/>
      <c r="U205" s="164"/>
      <c r="V205" s="164"/>
      <c r="W205" s="164"/>
      <c r="X205" s="164"/>
      <c r="Y205" s="164"/>
      <c r="Z205" s="164"/>
    </row>
    <row r="206" ht="13.5" customHeight="1">
      <c r="A206" s="164">
        <f t="shared" si="3"/>
        <v>204</v>
      </c>
      <c r="B206" s="171" t="s">
        <v>900</v>
      </c>
      <c r="C206" s="164" t="str">
        <f>VLOOKUP(B206,HECVAT!A:E,2,FALSE)</f>
        <v>Have you supplied products and/or services to the Institution (or its Campuses) in the last five years?</v>
      </c>
      <c r="D206" s="212" t="str">
        <f>VLOOKUP(B206,HECVAT!A:E,4,FALSE)</f>
        <v/>
      </c>
      <c r="E206" s="174" t="b">
        <f>IF(Questions!$K206&gt;20,TRUE,FALSE)</f>
        <v>0</v>
      </c>
      <c r="F206" s="174" t="s">
        <v>2837</v>
      </c>
      <c r="G206" s="171" t="s">
        <v>92</v>
      </c>
      <c r="H206" s="176">
        <v>1.0</v>
      </c>
      <c r="I206" s="164" t="str">
        <f>VLOOKUP(B206,HECVAT!A:E,3,FALSE)</f>
        <v>No</v>
      </c>
      <c r="J206" s="164">
        <f>IF(Questions!$G206=Questions!$I206,1,0)</f>
        <v>0</v>
      </c>
      <c r="K206" s="164">
        <f>IF(Questions!$H206=1,15,"")</f>
        <v>15</v>
      </c>
      <c r="L206" s="164">
        <f>IF(Questions!$H206=1,J206*K206,"")</f>
        <v>0</v>
      </c>
      <c r="M206" s="180" t="str">
        <f>VLOOKUP($B206,'Standards Crosswalk'!$A:$H,3,FALSE)</f>
        <v/>
      </c>
      <c r="N206" s="180" t="str">
        <f>VLOOKUP($B206,'Standards Crosswalk'!$A:$H,4,FALSE)</f>
        <v/>
      </c>
      <c r="O206" s="180" t="str">
        <f>VLOOKUP($B206,'Standards Crosswalk'!$A:$H,5,FALSE)</f>
        <v/>
      </c>
      <c r="P206" s="180" t="str">
        <f>VLOOKUP($B206,'Standards Crosswalk'!$A:$H,6,FALSE)</f>
        <v/>
      </c>
      <c r="Q206" s="180" t="str">
        <f>VLOOKUP($B206,'Standards Crosswalk'!$A:$H,7,FALSE)</f>
        <v/>
      </c>
      <c r="R206" s="180" t="str">
        <f>VLOOKUP($B206,'Standards Crosswalk'!$A:$H,8,FALSE)</f>
        <v/>
      </c>
      <c r="S206" s="180" t="str">
        <f>VLOOKUP($B206,'Standards Crosswalk'!$A:$I,9,FALSE)</f>
        <v/>
      </c>
      <c r="T206" s="164"/>
      <c r="U206" s="164"/>
      <c r="V206" s="164"/>
      <c r="W206" s="164"/>
      <c r="X206" s="164"/>
      <c r="Y206" s="164"/>
      <c r="Z206" s="164"/>
    </row>
    <row r="207" ht="13.5" customHeight="1">
      <c r="A207" s="164">
        <f t="shared" si="3"/>
        <v>205</v>
      </c>
      <c r="B207" s="171" t="s">
        <v>902</v>
      </c>
      <c r="C207" s="164" t="str">
        <f>VLOOKUP(B207,HECVAT!A:E,2,FALSE)</f>
        <v>Do you have a program to keep your customers abreast of higher education and/or industry issues?</v>
      </c>
      <c r="D207" s="212" t="str">
        <f>VLOOKUP(B207,HECVAT!A:E,4,FALSE)</f>
        <v>no plans at this point</v>
      </c>
      <c r="E207" s="174" t="b">
        <f>IF(Questions!$K207&gt;20,TRUE,FALSE)</f>
        <v>0</v>
      </c>
      <c r="F207" s="174" t="s">
        <v>2837</v>
      </c>
      <c r="G207" s="171" t="s">
        <v>92</v>
      </c>
      <c r="H207" s="176">
        <v>1.0</v>
      </c>
      <c r="I207" s="164" t="str">
        <f>VLOOKUP(B207,HECVAT!A:E,3,FALSE)</f>
        <v>No</v>
      </c>
      <c r="J207" s="164">
        <f>IF(Questions!$G207=Questions!$I207,1,0)</f>
        <v>0</v>
      </c>
      <c r="K207" s="164">
        <f>IF(Questions!$H207=1,15,"")</f>
        <v>15</v>
      </c>
      <c r="L207" s="164">
        <f>IF(Questions!$H207=1,J207*K207,"")</f>
        <v>0</v>
      </c>
      <c r="M207" s="180" t="str">
        <f>VLOOKUP($B207,'Standards Crosswalk'!$A:$H,3,FALSE)</f>
        <v>CSC 17</v>
      </c>
      <c r="N207" s="180" t="str">
        <f>VLOOKUP($B207,'Standards Crosswalk'!$A:$H,4,FALSE)</f>
        <v/>
      </c>
      <c r="O207" s="180" t="str">
        <f>VLOOKUP($B207,'Standards Crosswalk'!$A:$H,5,FALSE)</f>
        <v/>
      </c>
      <c r="P207" s="180" t="str">
        <f>VLOOKUP($B207,'Standards Crosswalk'!$A:$H,6,FALSE)</f>
        <v/>
      </c>
      <c r="Q207" s="180" t="str">
        <f>VLOOKUP($B207,'Standards Crosswalk'!$A:$H,7,FALSE)</f>
        <v/>
      </c>
      <c r="R207" s="180" t="str">
        <f>VLOOKUP($B207,'Standards Crosswalk'!$A:$H,8,FALSE)</f>
        <v/>
      </c>
      <c r="S207" s="180" t="str">
        <f>VLOOKUP($B207,'Standards Crosswalk'!$A:$I,9,FALSE)</f>
        <v/>
      </c>
      <c r="T207" s="164"/>
      <c r="U207" s="164"/>
      <c r="V207" s="164"/>
      <c r="W207" s="164"/>
      <c r="X207" s="164"/>
      <c r="Y207" s="164"/>
      <c r="Z207" s="164"/>
    </row>
    <row r="208" ht="13.5" customHeight="1">
      <c r="A208" s="164">
        <f t="shared" si="3"/>
        <v>206</v>
      </c>
      <c r="B208" s="171" t="s">
        <v>908</v>
      </c>
      <c r="C208" s="164" t="str">
        <f>VLOOKUP(B208,HECVAT!A:E,2,FALSE)</f>
        <v>Are systems that support this service managed via a separate management network?</v>
      </c>
      <c r="D208" s="212" t="str">
        <f>VLOOKUP(B208,HECVAT!A:E,4,FALSE)</f>
        <v>Google</v>
      </c>
      <c r="E208" s="174" t="b">
        <f>IF(Questions!$K208&gt;20,TRUE,FALSE)</f>
        <v>1</v>
      </c>
      <c r="F208" s="174" t="s">
        <v>2749</v>
      </c>
      <c r="G208" s="171" t="s">
        <v>92</v>
      </c>
      <c r="H208" s="176">
        <v>1.0</v>
      </c>
      <c r="I208" s="164" t="str">
        <f>VLOOKUP(B208,HECVAT!A:E,3,FALSE)</f>
        <v>Yes</v>
      </c>
      <c r="J208" s="164">
        <f>IF(Questions!$G208=Questions!$I208,1,0)</f>
        <v>1</v>
      </c>
      <c r="K208" s="164">
        <f>IF(Questions!$H208=1,25,"")</f>
        <v>25</v>
      </c>
      <c r="L208" s="164">
        <f>IF(Questions!$H208=1,J208*K208,"")</f>
        <v>25</v>
      </c>
      <c r="M208" s="180" t="str">
        <f>VLOOKUP($B208,'Standards Crosswalk'!$A:$H,3,FALSE)</f>
        <v>CSC 12</v>
      </c>
      <c r="N208" s="180" t="str">
        <f>VLOOKUP($B208,'Standards Crosswalk'!$A:$H,4,FALSE)</f>
        <v/>
      </c>
      <c r="O208" s="180" t="str">
        <f>VLOOKUP($B208,'Standards Crosswalk'!$A:$H,5,FALSE)</f>
        <v>13.1.1</v>
      </c>
      <c r="P208" s="180" t="str">
        <f>VLOOKUP($B208,'Standards Crosswalk'!$A:$H,6,FALSE)</f>
        <v>PR.PT-4</v>
      </c>
      <c r="Q208" s="180" t="str">
        <f>VLOOKUP($B208,'Standards Crosswalk'!$A:$H,7,FALSE)</f>
        <v>3.1.3</v>
      </c>
      <c r="R208" s="180" t="str">
        <f>VLOOKUP($B208,'Standards Crosswalk'!$A:$H,8,FALSE)</f>
        <v>AC-4</v>
      </c>
      <c r="S208" s="180" t="str">
        <f>VLOOKUP($B208,'Standards Crosswalk'!$A:$I,9,FALSE)</f>
        <v/>
      </c>
      <c r="T208" s="164"/>
      <c r="U208" s="164"/>
      <c r="V208" s="164"/>
      <c r="W208" s="164"/>
      <c r="X208" s="164"/>
      <c r="Y208" s="164"/>
      <c r="Z208" s="164"/>
    </row>
    <row r="209" ht="13.5" customHeight="1">
      <c r="A209" s="164">
        <f t="shared" si="3"/>
        <v>207</v>
      </c>
      <c r="B209" s="171" t="s">
        <v>911</v>
      </c>
      <c r="C209" s="164" t="str">
        <f>VLOOKUP(B209,HECVAT!A:E,2,FALSE)</f>
        <v>Do you have an implemented system configuration management process? (e.g. secure "gold" images, etc.)</v>
      </c>
      <c r="D209" s="212" t="str">
        <f>VLOOKUP(B209,HECVAT!A:E,4,FALSE)</f>
        <v/>
      </c>
      <c r="E209" s="174" t="b">
        <f>IF(Questions!$K209&gt;20,TRUE,FALSE)</f>
        <v>0</v>
      </c>
      <c r="F209" s="174" t="s">
        <v>2749</v>
      </c>
      <c r="G209" s="171" t="s">
        <v>92</v>
      </c>
      <c r="H209" s="176">
        <v>1.0</v>
      </c>
      <c r="I209" s="164" t="str">
        <f>VLOOKUP(B209,HECVAT!A:E,3,FALSE)</f>
        <v>No</v>
      </c>
      <c r="J209" s="164">
        <f>IF(Questions!$G209=Questions!$I209,1,0)</f>
        <v>0</v>
      </c>
      <c r="K209" s="164">
        <f>IF(Questions!$H209=1,10,"")</f>
        <v>10</v>
      </c>
      <c r="L209" s="164">
        <f>IF(Questions!$H209=1,J209*K209,"")</f>
        <v>0</v>
      </c>
      <c r="M209" s="180" t="str">
        <f>VLOOKUP($B209,'Standards Crosswalk'!$A:$H,3,FALSE)</f>
        <v>CSC 3</v>
      </c>
      <c r="N209" s="180" t="str">
        <f>VLOOKUP($B209,'Standards Crosswalk'!$A:$H,4,FALSE)</f>
        <v/>
      </c>
      <c r="O209" s="180" t="str">
        <f>VLOOKUP($B209,'Standards Crosswalk'!$A:$H,5,FALSE)</f>
        <v/>
      </c>
      <c r="P209" s="180" t="str">
        <f>VLOOKUP($B209,'Standards Crosswalk'!$A:$H,6,FALSE)</f>
        <v>PR.IP-1</v>
      </c>
      <c r="Q209" s="180" t="str">
        <f>VLOOKUP($B209,'Standards Crosswalk'!$A:$H,7,FALSE)</f>
        <v>3.4.1, 3.4.2, 3.4.3</v>
      </c>
      <c r="R209" s="180" t="str">
        <f>VLOOKUP($B209,'Standards Crosswalk'!$A:$H,8,FALSE)</f>
        <v>CM-2, CM-3, CM-6, CM-8</v>
      </c>
      <c r="S209" s="180" t="str">
        <f>VLOOKUP($B209,'Standards Crosswalk'!$A:$I,9,FALSE)</f>
        <v/>
      </c>
      <c r="T209" s="164"/>
      <c r="U209" s="164"/>
      <c r="V209" s="164"/>
      <c r="W209" s="164"/>
      <c r="X209" s="164"/>
      <c r="Y209" s="164"/>
      <c r="Z209" s="164"/>
    </row>
    <row r="210" ht="13.5" customHeight="1">
      <c r="A210" s="164">
        <f t="shared" si="3"/>
        <v>208</v>
      </c>
      <c r="B210" s="171" t="s">
        <v>916</v>
      </c>
      <c r="C210" s="164" t="str">
        <f>VLOOKUP(B210,HECVAT!A:E,2,FALSE)</f>
        <v>Are employee mobile devices managed by your company's Mobile Device Management (MDM) platform?</v>
      </c>
      <c r="D210" s="212" t="str">
        <f>VLOOKUP(B210,HECVAT!A:E,4,FALSE)</f>
        <v/>
      </c>
      <c r="E210" s="174" t="b">
        <f>IF(Questions!$K210&gt;20,TRUE,FALSE)</f>
        <v>0</v>
      </c>
      <c r="F210" s="174" t="s">
        <v>2749</v>
      </c>
      <c r="G210" s="171" t="s">
        <v>92</v>
      </c>
      <c r="H210" s="176">
        <v>1.0</v>
      </c>
      <c r="I210" s="164" t="str">
        <f>VLOOKUP(B210,HECVAT!A:E,3,FALSE)</f>
        <v>No</v>
      </c>
      <c r="J210" s="164">
        <f>IF(Questions!$G210=Questions!$I210,1,0)</f>
        <v>0</v>
      </c>
      <c r="K210" s="164">
        <f>IF(Questions!$H210=1,15,"")</f>
        <v>15</v>
      </c>
      <c r="L210" s="164">
        <f>IF(Questions!$H210=1,J210*K210,"")</f>
        <v>0</v>
      </c>
      <c r="M210" s="180" t="str">
        <f>VLOOKUP($B210,'Standards Crosswalk'!$A:$H,3,FALSE)</f>
        <v>CSC 3</v>
      </c>
      <c r="N210" s="180" t="str">
        <f>VLOOKUP($B210,'Standards Crosswalk'!$A:$H,4,FALSE)</f>
        <v/>
      </c>
      <c r="O210" s="180" t="str">
        <f>VLOOKUP($B210,'Standards Crosswalk'!$A:$H,5,FALSE)</f>
        <v>6.2.1</v>
      </c>
      <c r="P210" s="180" t="str">
        <f>VLOOKUP($B210,'Standards Crosswalk'!$A:$H,6,FALSE)</f>
        <v/>
      </c>
      <c r="Q210" s="180" t="str">
        <f>VLOOKUP($B210,'Standards Crosswalk'!$A:$H,7,FALSE)</f>
        <v>3.13.13</v>
      </c>
      <c r="R210" s="180" t="str">
        <f>VLOOKUP($B210,'Standards Crosswalk'!$A:$H,8,FALSE)</f>
        <v/>
      </c>
      <c r="S210" s="180" t="str">
        <f>VLOOKUP($B210,'Standards Crosswalk'!$A:$I,9,FALSE)</f>
        <v/>
      </c>
      <c r="T210" s="164"/>
      <c r="U210" s="164"/>
      <c r="V210" s="164"/>
      <c r="W210" s="164"/>
      <c r="X210" s="164"/>
      <c r="Y210" s="164"/>
      <c r="Z210" s="164"/>
    </row>
    <row r="211" ht="13.5" customHeight="1">
      <c r="A211" s="164">
        <f t="shared" si="3"/>
        <v>209</v>
      </c>
      <c r="B211" s="171" t="s">
        <v>920</v>
      </c>
      <c r="C211" s="164" t="str">
        <f>VLOOKUP(B211,HECVAT!A:E,2,FALSE)</f>
        <v>Do you have a systems management and configuration strategy that encompasses servers, appliances, and mobile devices (company and employee owned)?</v>
      </c>
      <c r="D211" s="164" t="str">
        <f>VLOOKUP(B211,HECVAT!A:E,4,FALSE)</f>
        <v/>
      </c>
      <c r="E211" s="174" t="b">
        <f>IF(Questions!$K211&gt;20,TRUE,FALSE)</f>
        <v>0</v>
      </c>
      <c r="F211" s="174" t="s">
        <v>2749</v>
      </c>
      <c r="G211" s="171" t="s">
        <v>92</v>
      </c>
      <c r="H211" s="176">
        <v>1.0</v>
      </c>
      <c r="I211" s="164" t="str">
        <f>VLOOKUP(B211,HECVAT!A:E,3,FALSE)</f>
        <v>Yes</v>
      </c>
      <c r="J211" s="164">
        <f>IF(Questions!$G211=Questions!$I211,1,0)</f>
        <v>1</v>
      </c>
      <c r="K211" s="164">
        <f>IF(Questions!$H211=1,20,"")</f>
        <v>20</v>
      </c>
      <c r="L211" s="164">
        <f>IF(Questions!$H211=1,J211*K211,"")</f>
        <v>20</v>
      </c>
      <c r="M211" s="180" t="str">
        <f>VLOOKUP($B211,'Standards Crosswalk'!$A:$H,3,FALSE)</f>
        <v>CSC 3</v>
      </c>
      <c r="N211" s="180" t="str">
        <f>VLOOKUP($B211,'Standards Crosswalk'!$A:$H,4,FALSE)</f>
        <v/>
      </c>
      <c r="O211" s="180" t="str">
        <f>VLOOKUP($B211,'Standards Crosswalk'!$A:$H,5,FALSE)</f>
        <v>12.1.1</v>
      </c>
      <c r="P211" s="180" t="str">
        <f>VLOOKUP($B211,'Standards Crosswalk'!$A:$H,6,FALSE)</f>
        <v>PR.IP-1, PR.IP-2</v>
      </c>
      <c r="Q211" s="180" t="str">
        <f>VLOOKUP($B211,'Standards Crosswalk'!$A:$H,7,FALSE)</f>
        <v>3.1.18, 3.7.1, 3.13.13</v>
      </c>
      <c r="R211" s="180" t="str">
        <f>VLOOKUP($B211,'Standards Crosswalk'!$A:$H,8,FALSE)</f>
        <v>CM-2, CM-6, CM-3, AC-19, MA-2</v>
      </c>
      <c r="S211" s="180" t="str">
        <f>VLOOKUP($B211,'Standards Crosswalk'!$A:$I,9,FALSE)</f>
        <v/>
      </c>
      <c r="T211" s="164"/>
      <c r="U211" s="164"/>
      <c r="V211" s="164"/>
      <c r="W211" s="164"/>
      <c r="X211" s="164"/>
      <c r="Y211" s="164"/>
      <c r="Z211" s="164"/>
    </row>
    <row r="212" ht="13.5" customHeight="1">
      <c r="A212" s="164">
        <f t="shared" si="3"/>
        <v>210</v>
      </c>
      <c r="B212" s="171" t="s">
        <v>927</v>
      </c>
      <c r="C212" s="164" t="str">
        <f>VLOOKUP(B212,HECVAT!A:E,2,FALSE)</f>
        <v>Are your applications scanned externally for vulnerabilities?</v>
      </c>
      <c r="D212" s="212" t="str">
        <f>VLOOKUP(B212,HECVAT!A:E,4,FALSE)</f>
        <v/>
      </c>
      <c r="E212" s="174" t="b">
        <f>IF(Questions!$K212&gt;20,TRUE,FALSE)</f>
        <v>1</v>
      </c>
      <c r="F212" s="174" t="s">
        <v>2750</v>
      </c>
      <c r="G212" s="171" t="s">
        <v>92</v>
      </c>
      <c r="H212" s="176">
        <v>1.0</v>
      </c>
      <c r="I212" s="164" t="str">
        <f>VLOOKUP(B212,HECVAT!A:E,3,FALSE)</f>
        <v>Yes</v>
      </c>
      <c r="J212" s="164">
        <f>IF(Questions!$G212=Questions!$I212,1,0)</f>
        <v>1</v>
      </c>
      <c r="K212" s="164">
        <f>IF(Questions!$H212=1,25,"")</f>
        <v>25</v>
      </c>
      <c r="L212" s="164">
        <f>IF(Questions!$H212=1,J212*K212,"")</f>
        <v>25</v>
      </c>
      <c r="M212" s="180" t="str">
        <f>VLOOKUP($B212,'Standards Crosswalk'!$A:$H,3,FALSE)</f>
        <v>CSC 4</v>
      </c>
      <c r="N212" s="180" t="str">
        <f>VLOOKUP($B212,'Standards Crosswalk'!$A:$H,4,FALSE)</f>
        <v/>
      </c>
      <c r="O212" s="180" t="str">
        <f>VLOOKUP($B212,'Standards Crosswalk'!$A:$H,5,FALSE)</f>
        <v>12.6.1</v>
      </c>
      <c r="P212" s="180" t="str">
        <f>VLOOKUP($B212,'Standards Crosswalk'!$A:$H,6,FALSE)</f>
        <v>DE.CM-8</v>
      </c>
      <c r="Q212" s="180" t="str">
        <f>VLOOKUP($B212,'Standards Crosswalk'!$A:$H,7,FALSE)</f>
        <v>3.11.1, 3.11.2, 3.11.3</v>
      </c>
      <c r="R212" s="180" t="str">
        <f>VLOOKUP($B212,'Standards Crosswalk'!$A:$H,8,FALSE)</f>
        <v>SI-2</v>
      </c>
      <c r="S212" s="180">
        <f>VLOOKUP($B212,'Standards Crosswalk'!$A:$I,9,FALSE)</f>
        <v>11.2</v>
      </c>
      <c r="T212" s="164"/>
      <c r="U212" s="164"/>
      <c r="V212" s="164"/>
      <c r="W212" s="164"/>
      <c r="X212" s="164"/>
      <c r="Y212" s="164"/>
      <c r="Z212" s="164"/>
    </row>
    <row r="213" ht="13.5" customHeight="1">
      <c r="A213" s="164">
        <f t="shared" si="3"/>
        <v>211</v>
      </c>
      <c r="B213" s="171" t="str">
        <f>IF(I134="Yes","VULN-02","")</f>
        <v>VULN-02</v>
      </c>
      <c r="C213" s="164" t="str">
        <f>VLOOKUP(B213,HECVAT!A:E,2,FALSE)</f>
        <v>Have your applications had an external vulnerability assessment in the last year?</v>
      </c>
      <c r="D213" s="164" t="str">
        <f>VLOOKUP(B213,HECVAT!A:E,4,FALSE)</f>
        <v>6/30/2018, planned for 6/2019</v>
      </c>
      <c r="E213" s="174" t="b">
        <f>IF(Questions!$K213&gt;20,TRUE,FALSE)</f>
        <v>1</v>
      </c>
      <c r="F213" s="174" t="s">
        <v>2750</v>
      </c>
      <c r="G213" s="171" t="s">
        <v>92</v>
      </c>
      <c r="H213" s="176">
        <f>IF(I212="Yes",1,0)</f>
        <v>1</v>
      </c>
      <c r="I213" s="164" t="str">
        <f>VLOOKUP(B213,HECVAT!A:E,3,FALSE)</f>
        <v>Yes</v>
      </c>
      <c r="J213" s="164">
        <f>IF(Questions!$G213=Questions!$I213,1,0)</f>
        <v>1</v>
      </c>
      <c r="K213" s="164">
        <f>IF(Questions!$H213=1,25,"")</f>
        <v>25</v>
      </c>
      <c r="L213" s="164">
        <f>IF(Questions!$H213=1,J213*K213,"")</f>
        <v>25</v>
      </c>
      <c r="M213" s="180" t="str">
        <f>VLOOKUP($B213,'Standards Crosswalk'!$A:$H,3,FALSE)</f>
        <v>CSC 4</v>
      </c>
      <c r="N213" s="180" t="str">
        <f>VLOOKUP($B213,'Standards Crosswalk'!$A:$H,4,FALSE)</f>
        <v/>
      </c>
      <c r="O213" s="180" t="str">
        <f>VLOOKUP($B213,'Standards Crosswalk'!$A:$H,5,FALSE)</f>
        <v>12.6.1</v>
      </c>
      <c r="P213" s="180" t="str">
        <f>VLOOKUP($B213,'Standards Crosswalk'!$A:$H,6,FALSE)</f>
        <v>DE.CM-8</v>
      </c>
      <c r="Q213" s="180" t="str">
        <f>VLOOKUP($B213,'Standards Crosswalk'!$A:$H,7,FALSE)</f>
        <v>3.11.1, 3.11.2, 3.11.3</v>
      </c>
      <c r="R213" s="180" t="str">
        <f>VLOOKUP($B213,'Standards Crosswalk'!$A:$H,8,FALSE)</f>
        <v>SI-2</v>
      </c>
      <c r="S213" s="180">
        <f>VLOOKUP($B213,'Standards Crosswalk'!$A:$I,9,FALSE)</f>
        <v>11.2</v>
      </c>
      <c r="T213" s="164"/>
      <c r="U213" s="164"/>
      <c r="V213" s="164"/>
      <c r="W213" s="164"/>
      <c r="X213" s="164"/>
      <c r="Y213" s="164"/>
      <c r="Z213" s="164"/>
    </row>
    <row r="214" ht="13.5" customHeight="1">
      <c r="A214" s="164">
        <f t="shared" si="3"/>
        <v>212</v>
      </c>
      <c r="B214" s="171" t="s">
        <v>934</v>
      </c>
      <c r="C214" s="164" t="str">
        <f>VLOOKUP(B214,HECVAT!A:E,2,FALSE)</f>
        <v>Are your applications scanned for vulnerabilities prior to new releases?</v>
      </c>
      <c r="D214" s="212" t="str">
        <f>VLOOKUP(B214,HECVAT!A:E,4,FALSE)</f>
        <v>We run a vulnerability scan on our staging environment prior to passing the tests before moving to prod</v>
      </c>
      <c r="E214" s="174" t="b">
        <f>IF(Questions!$K214&gt;20,TRUE,FALSE)</f>
        <v>0</v>
      </c>
      <c r="F214" s="174" t="s">
        <v>2750</v>
      </c>
      <c r="G214" s="171" t="s">
        <v>92</v>
      </c>
      <c r="H214" s="176">
        <v>1.0</v>
      </c>
      <c r="I214" s="164" t="str">
        <f>VLOOKUP(B214,HECVAT!A:E,3,FALSE)</f>
        <v>Yes</v>
      </c>
      <c r="J214" s="164">
        <f>IF(Questions!$G214=Questions!$I214,1,0)</f>
        <v>1</v>
      </c>
      <c r="K214" s="164">
        <f>IF(Questions!$H214=1,20,"")</f>
        <v>20</v>
      </c>
      <c r="L214" s="164">
        <f>IF(Questions!$H214=1,J214*K214,"")</f>
        <v>20</v>
      </c>
      <c r="M214" s="180" t="str">
        <f>VLOOKUP($B214,'Standards Crosswalk'!$A:$H,3,FALSE)</f>
        <v>CSC 4</v>
      </c>
      <c r="N214" s="180" t="str">
        <f>VLOOKUP($B214,'Standards Crosswalk'!$A:$H,4,FALSE)</f>
        <v/>
      </c>
      <c r="O214" s="180" t="str">
        <f>VLOOKUP($B214,'Standards Crosswalk'!$A:$H,5,FALSE)</f>
        <v/>
      </c>
      <c r="P214" s="180" t="str">
        <f>VLOOKUP($B214,'Standards Crosswalk'!$A:$H,6,FALSE)</f>
        <v>DE.CM-8</v>
      </c>
      <c r="Q214" s="180" t="str">
        <f>VLOOKUP($B214,'Standards Crosswalk'!$A:$H,7,FALSE)</f>
        <v>3.11.1, 3.11.2, 3.11.3</v>
      </c>
      <c r="R214" s="180" t="str">
        <f>VLOOKUP($B214,'Standards Crosswalk'!$A:$H,8,FALSE)</f>
        <v>SI-2</v>
      </c>
      <c r="S214" s="180">
        <f>VLOOKUP($B214,'Standards Crosswalk'!$A:$I,9,FALSE)</f>
        <v>11.2</v>
      </c>
      <c r="T214" s="164"/>
      <c r="U214" s="164"/>
      <c r="V214" s="164"/>
      <c r="W214" s="164"/>
      <c r="X214" s="164"/>
      <c r="Y214" s="164"/>
      <c r="Z214" s="164"/>
    </row>
    <row r="215" ht="13.5" customHeight="1">
      <c r="A215" s="164">
        <f t="shared" si="3"/>
        <v>213</v>
      </c>
      <c r="B215" s="171" t="s">
        <v>936</v>
      </c>
      <c r="C215" s="164" t="str">
        <f>VLOOKUP(B215,HECVAT!A:E,2,FALSE)</f>
        <v>Are your systems scanned externally for vulnerabilities?</v>
      </c>
      <c r="D215" s="212" t="str">
        <f>VLOOKUP(B215,HECVAT!A:E,4,FALSE)</f>
        <v>Trying to have this in place by end of Q2</v>
      </c>
      <c r="E215" s="174" t="b">
        <f>IF(Questions!$K215&gt;20,TRUE,FALSE)</f>
        <v>1</v>
      </c>
      <c r="F215" s="174" t="s">
        <v>2750</v>
      </c>
      <c r="G215" s="171" t="s">
        <v>92</v>
      </c>
      <c r="H215" s="176">
        <v>1.0</v>
      </c>
      <c r="I215" s="164" t="str">
        <f>VLOOKUP(B215,HECVAT!A:E,3,FALSE)</f>
        <v>No</v>
      </c>
      <c r="J215" s="164">
        <f>IF(Questions!$G215=Questions!$I215,1,0)</f>
        <v>0</v>
      </c>
      <c r="K215" s="164">
        <f>IF(Questions!$H215=1,25,"")</f>
        <v>25</v>
      </c>
      <c r="L215" s="164">
        <f>IF(Questions!$H215=1,J215*K215,"")</f>
        <v>0</v>
      </c>
      <c r="M215" s="180" t="str">
        <f>VLOOKUP($B215,'Standards Crosswalk'!$A:$H,3,FALSE)</f>
        <v>CSC 4</v>
      </c>
      <c r="N215" s="180" t="str">
        <f>VLOOKUP($B215,'Standards Crosswalk'!$A:$H,4,FALSE)</f>
        <v/>
      </c>
      <c r="O215" s="180" t="str">
        <f>VLOOKUP($B215,'Standards Crosswalk'!$A:$H,5,FALSE)</f>
        <v/>
      </c>
      <c r="P215" s="180" t="str">
        <f>VLOOKUP($B215,'Standards Crosswalk'!$A:$H,6,FALSE)</f>
        <v>DE.CM-8</v>
      </c>
      <c r="Q215" s="180" t="str">
        <f>VLOOKUP($B215,'Standards Crosswalk'!$A:$H,7,FALSE)</f>
        <v>3.11.1, 3.11.2, 3.11.3</v>
      </c>
      <c r="R215" s="180" t="str">
        <f>VLOOKUP($B215,'Standards Crosswalk'!$A:$H,8,FALSE)</f>
        <v>SI-2</v>
      </c>
      <c r="S215" s="180">
        <f>VLOOKUP($B215,'Standards Crosswalk'!$A:$I,9,FALSE)</f>
        <v>11.2</v>
      </c>
      <c r="T215" s="164"/>
      <c r="U215" s="164"/>
      <c r="V215" s="164"/>
      <c r="W215" s="164"/>
      <c r="X215" s="164"/>
      <c r="Y215" s="164"/>
      <c r="Z215" s="164"/>
    </row>
    <row r="216" ht="13.5" customHeight="1">
      <c r="A216" s="164">
        <f t="shared" si="3"/>
        <v>214</v>
      </c>
      <c r="B216" s="171" t="s">
        <v>938</v>
      </c>
      <c r="C216" s="164" t="str">
        <f>VLOOKUP(B216,HECVAT!A:E,2,FALSE)</f>
        <v>Have your systems had an external vulnerability assessment in the last year?</v>
      </c>
      <c r="D216" s="212" t="str">
        <f>VLOOKUP(B216,HECVAT!A:E,4,FALSE)</f>
        <v/>
      </c>
      <c r="E216" s="174" t="b">
        <f>IF(Questions!$K216&gt;20,TRUE,FALSE)</f>
        <v>1</v>
      </c>
      <c r="F216" s="174" t="s">
        <v>2750</v>
      </c>
      <c r="G216" s="171" t="s">
        <v>92</v>
      </c>
      <c r="H216" s="176">
        <v>1.0</v>
      </c>
      <c r="I216" s="164" t="str">
        <f>VLOOKUP(B216,HECVAT!A:E,3,FALSE)</f>
        <v/>
      </c>
      <c r="J216" s="164">
        <f>IF(Questions!$G216=Questions!$I216,1,0)</f>
        <v>0</v>
      </c>
      <c r="K216" s="164">
        <f>IF(Questions!$H216=1,25,"")</f>
        <v>25</v>
      </c>
      <c r="L216" s="164">
        <f>IF(Questions!$H216=1,J216*K216,"")</f>
        <v>0</v>
      </c>
      <c r="M216" s="180" t="str">
        <f>VLOOKUP($B216,'Standards Crosswalk'!$A:$H,3,FALSE)</f>
        <v>CSC 4</v>
      </c>
      <c r="N216" s="180" t="str">
        <f>VLOOKUP($B216,'Standards Crosswalk'!$A:$H,4,FALSE)</f>
        <v/>
      </c>
      <c r="O216" s="180" t="str">
        <f>VLOOKUP($B216,'Standards Crosswalk'!$A:$H,5,FALSE)</f>
        <v/>
      </c>
      <c r="P216" s="180" t="str">
        <f>VLOOKUP($B216,'Standards Crosswalk'!$A:$H,6,FALSE)</f>
        <v>DE.CM-8</v>
      </c>
      <c r="Q216" s="180" t="str">
        <f>VLOOKUP($B216,'Standards Crosswalk'!$A:$H,7,FALSE)</f>
        <v/>
      </c>
      <c r="R216" s="180" t="str">
        <f>VLOOKUP($B216,'Standards Crosswalk'!$A:$H,8,FALSE)</f>
        <v>SI-2</v>
      </c>
      <c r="S216" s="180">
        <f>VLOOKUP($B216,'Standards Crosswalk'!$A:$I,9,FALSE)</f>
        <v>11.2</v>
      </c>
      <c r="T216" s="164"/>
      <c r="U216" s="164"/>
      <c r="V216" s="164"/>
      <c r="W216" s="164"/>
      <c r="X216" s="164"/>
      <c r="Y216" s="164"/>
      <c r="Z216" s="164"/>
    </row>
    <row r="217" ht="13.5" customHeight="1">
      <c r="A217" s="164">
        <f t="shared" si="3"/>
        <v>215</v>
      </c>
      <c r="B217" s="171" t="s">
        <v>940</v>
      </c>
      <c r="C217" s="164" t="str">
        <f>VLOOKUP(B217,HECVAT!A:E,2,FALSE)</f>
        <v>Describe or provide a reference to the tool(s) used to scan for vulnerabilities in your applications and systems.</v>
      </c>
      <c r="D217" s="164" t="str">
        <f>VLOOKUP(B217,HECVAT!A:E,4,FALSE)</f>
        <v/>
      </c>
      <c r="E217" s="174" t="b">
        <f>IF(Questions!$K217&gt;20,TRUE,FALSE)</f>
        <v>0</v>
      </c>
      <c r="F217" s="174" t="s">
        <v>2750</v>
      </c>
      <c r="G217" s="171" t="s">
        <v>92</v>
      </c>
      <c r="H217" s="176">
        <v>1.0</v>
      </c>
      <c r="I217" s="164" t="str">
        <f>VLOOKUP(B217,HECVAT!A:E,3,FALSE)</f>
        <v>OpenVAS</v>
      </c>
      <c r="J217" s="164">
        <f>IF(VLOOKUP(Questions!$B217,'Analyst Report'!$A$38:$G$85,7,FALSE)="Yes",1,0)</f>
        <v>0</v>
      </c>
      <c r="K217" s="164">
        <f>IF(Questions!$H217=1,15,"")</f>
        <v>15</v>
      </c>
      <c r="L217" s="164">
        <f>IF(Questions!$H217=1,J217*K217,"")</f>
        <v>0</v>
      </c>
      <c r="M217" s="180" t="str">
        <f>VLOOKUP($B217,'Standards Crosswalk'!$A:$H,3,FALSE)</f>
        <v>CSC 4</v>
      </c>
      <c r="N217" s="180" t="str">
        <f>VLOOKUP($B217,'Standards Crosswalk'!$A:$H,4,FALSE)</f>
        <v/>
      </c>
      <c r="O217" s="180" t="str">
        <f>VLOOKUP($B217,'Standards Crosswalk'!$A:$H,5,FALSE)</f>
        <v/>
      </c>
      <c r="P217" s="180" t="str">
        <f>VLOOKUP($B217,'Standards Crosswalk'!$A:$H,6,FALSE)</f>
        <v>DE.CM-8</v>
      </c>
      <c r="Q217" s="180" t="str">
        <f>VLOOKUP($B217,'Standards Crosswalk'!$A:$H,7,FALSE)</f>
        <v>3.11.1, 3.11.2, 3.11.3</v>
      </c>
      <c r="R217" s="180" t="str">
        <f>VLOOKUP($B217,'Standards Crosswalk'!$A:$H,8,FALSE)</f>
        <v>SI-2</v>
      </c>
      <c r="S217" s="180">
        <f>VLOOKUP($B217,'Standards Crosswalk'!$A:$I,9,FALSE)</f>
        <v>11.2</v>
      </c>
      <c r="T217" s="164"/>
      <c r="U217" s="164"/>
      <c r="V217" s="164"/>
      <c r="W217" s="164"/>
      <c r="X217" s="164"/>
      <c r="Y217" s="164"/>
      <c r="Z217" s="164"/>
    </row>
    <row r="218" ht="13.5" customHeight="1">
      <c r="A218" s="164">
        <f t="shared" si="3"/>
        <v>216</v>
      </c>
      <c r="B218" s="171" t="s">
        <v>942</v>
      </c>
      <c r="C218" s="164" t="str">
        <f>VLOOKUP(B218,HECVAT!A:E,2,FALSE)</f>
        <v>Will you provide results of security scans to the Institution?</v>
      </c>
      <c r="D218" s="212" t="str">
        <f>VLOOKUP(B218,HECVAT!A:E,4,FALSE)</f>
        <v>NDA</v>
      </c>
      <c r="E218" s="174" t="b">
        <f>IF(Questions!$K218&gt;20,TRUE,FALSE)</f>
        <v>0</v>
      </c>
      <c r="F218" s="174" t="s">
        <v>2750</v>
      </c>
      <c r="G218" s="171" t="s">
        <v>92</v>
      </c>
      <c r="H218" s="176">
        <v>1.0</v>
      </c>
      <c r="I218" s="164" t="str">
        <f>VLOOKUP(B218,HECVAT!A:E,3,FALSE)</f>
        <v>Yes</v>
      </c>
      <c r="J218" s="164">
        <f>IF(Questions!$G218=Questions!$I218,1,0)</f>
        <v>1</v>
      </c>
      <c r="K218" s="164">
        <f>IF(Questions!$H218=1,15,"")</f>
        <v>15</v>
      </c>
      <c r="L218" s="164">
        <f>IF(Questions!$H218=1,J218*K218,"")</f>
        <v>15</v>
      </c>
      <c r="M218" s="180" t="str">
        <f>VLOOKUP($B218,'Standards Crosswalk'!$A:$H,3,FALSE)</f>
        <v>CSC 4</v>
      </c>
      <c r="N218" s="180" t="str">
        <f>VLOOKUP($B218,'Standards Crosswalk'!$A:$H,4,FALSE)</f>
        <v/>
      </c>
      <c r="O218" s="180" t="str">
        <f>VLOOKUP($B218,'Standards Crosswalk'!$A:$H,5,FALSE)</f>
        <v/>
      </c>
      <c r="P218" s="180" t="str">
        <f>VLOOKUP($B218,'Standards Crosswalk'!$A:$H,6,FALSE)</f>
        <v>DE.CM-8</v>
      </c>
      <c r="Q218" s="180" t="str">
        <f>VLOOKUP($B218,'Standards Crosswalk'!$A:$H,7,FALSE)</f>
        <v/>
      </c>
      <c r="R218" s="180" t="str">
        <f>VLOOKUP($B218,'Standards Crosswalk'!$A:$H,8,FALSE)</f>
        <v>SI-2</v>
      </c>
      <c r="S218" s="180">
        <f>VLOOKUP($B218,'Standards Crosswalk'!$A:$I,9,FALSE)</f>
        <v>11.2</v>
      </c>
      <c r="T218" s="164"/>
      <c r="U218" s="164"/>
      <c r="V218" s="164"/>
      <c r="W218" s="164"/>
      <c r="X218" s="164"/>
      <c r="Y218" s="164"/>
      <c r="Z218" s="164"/>
    </row>
    <row r="219" ht="13.5" customHeight="1">
      <c r="A219" s="164">
        <f t="shared" si="3"/>
        <v>217</v>
      </c>
      <c r="B219" s="171" t="s">
        <v>944</v>
      </c>
      <c r="C219" s="164" t="str">
        <f>VLOOKUP(B219,HECVAT!A:E,2,FALSE)</f>
        <v>Describe or provide a reference to how you monitor for and protect against common web application security vulnerabilities (e.g. SQL injection, XSS, XSRF, etc.).</v>
      </c>
      <c r="D219" s="164" t="str">
        <f>VLOOKUP(B219,HECVAT!A:E,4,FALSE)</f>
        <v/>
      </c>
      <c r="E219" s="174" t="b">
        <f>IF(Questions!$K219&gt;20,TRUE,FALSE)</f>
        <v>0</v>
      </c>
      <c r="F219" s="174" t="s">
        <v>2750</v>
      </c>
      <c r="G219" s="171" t="s">
        <v>92</v>
      </c>
      <c r="H219" s="176">
        <v>1.0</v>
      </c>
      <c r="I219" s="164" t="str">
        <f>VLOOKUP(B219,HECVAT!A:E,3,FALSE)</f>
        <v>WAF rules, escaping submission data, etc.</v>
      </c>
      <c r="J219" s="164">
        <f>IF(VLOOKUP(Questions!$B219,'Analyst Report'!$A$38:$G$85,7,FALSE)="Yes",1,0)</f>
        <v>0</v>
      </c>
      <c r="K219" s="164">
        <f>IF(Questions!$H219=1,20,"")</f>
        <v>20</v>
      </c>
      <c r="L219" s="164">
        <f>IF(Questions!$H219=1,J219*K219,"")</f>
        <v>0</v>
      </c>
      <c r="M219" s="180" t="str">
        <f>VLOOKUP($B219,'Standards Crosswalk'!$A:$H,3,FALSE)</f>
        <v>CSC 7, CSC 18</v>
      </c>
      <c r="N219" s="180" t="str">
        <f>VLOOKUP($B219,'Standards Crosswalk'!$A:$H,4,FALSE)</f>
        <v/>
      </c>
      <c r="O219" s="180" t="str">
        <f>VLOOKUP($B219,'Standards Crosswalk'!$A:$H,5,FALSE)</f>
        <v>12.6.1</v>
      </c>
      <c r="P219" s="180" t="str">
        <f>VLOOKUP($B219,'Standards Crosswalk'!$A:$H,6,FALSE)</f>
        <v>ID.RA-1, DE.CM-8, PR.IP-12</v>
      </c>
      <c r="Q219" s="180" t="str">
        <f>VLOOKUP($B219,'Standards Crosswalk'!$A:$H,7,FALSE)</f>
        <v>3.11.1, 3.11.2, 3.11.3, 3.14.2</v>
      </c>
      <c r="R219" s="180" t="str">
        <f>VLOOKUP($B219,'Standards Crosswalk'!$A:$H,8,FALSE)</f>
        <v>SI-2</v>
      </c>
      <c r="S219" s="180" t="str">
        <f>VLOOKUP($B219,'Standards Crosswalk'!$A:$I,9,FALSE)</f>
        <v>11.2, 11.3</v>
      </c>
      <c r="T219" s="164"/>
      <c r="U219" s="164"/>
      <c r="V219" s="164"/>
      <c r="W219" s="164"/>
      <c r="X219" s="164"/>
      <c r="Y219" s="164"/>
      <c r="Z219" s="164"/>
    </row>
    <row r="220" ht="13.5" customHeight="1">
      <c r="A220" s="164">
        <f t="shared" si="3"/>
        <v>218</v>
      </c>
      <c r="B220" s="171" t="s">
        <v>950</v>
      </c>
      <c r="C220" s="164" t="str">
        <f>VLOOKUP(B220,HECVAT!A:E,2,FALSE)</f>
        <v>Will you allow the institution to perform its own security testing of your systems and/or application provided that testing is performed at a mutually agreed upon time and date?</v>
      </c>
      <c r="D220" s="212" t="str">
        <f>VLOOKUP(B220,HECVAT!A:E,4,FALSE)</f>
        <v>Clients may run tests on chatbot to test for vulnerabilities</v>
      </c>
      <c r="E220" s="174" t="b">
        <f>IF(Questions!$K220&gt;20,TRUE,FALSE)</f>
        <v>1</v>
      </c>
      <c r="F220" s="174" t="s">
        <v>2750</v>
      </c>
      <c r="G220" s="171" t="s">
        <v>92</v>
      </c>
      <c r="H220" s="176">
        <v>1.0</v>
      </c>
      <c r="I220" s="164" t="str">
        <f>VLOOKUP(B220,HECVAT!A:E,3,FALSE)</f>
        <v>Yes</v>
      </c>
      <c r="J220" s="164">
        <f>IF(Questions!$G220=Questions!$I220,1,0)</f>
        <v>1</v>
      </c>
      <c r="K220" s="164">
        <f>IF(Questions!$H220=1,25,"")</f>
        <v>25</v>
      </c>
      <c r="L220" s="164">
        <f>IF(Questions!$H220=1,J220*K220,"")</f>
        <v>25</v>
      </c>
      <c r="M220" s="180" t="str">
        <f>VLOOKUP($B220,'Standards Crosswalk'!$A:$H,3,FALSE)</f>
        <v>CSC 20</v>
      </c>
      <c r="N220" s="180" t="str">
        <f>VLOOKUP($B220,'Standards Crosswalk'!$A:$H,4,FALSE)</f>
        <v/>
      </c>
      <c r="O220" s="180" t="str">
        <f>VLOOKUP($B220,'Standards Crosswalk'!$A:$H,5,FALSE)</f>
        <v>18.2.1</v>
      </c>
      <c r="P220" s="180" t="str">
        <f>VLOOKUP($B220,'Standards Crosswalk'!$A:$H,6,FALSE)</f>
        <v>DE.CM-8</v>
      </c>
      <c r="Q220" s="180" t="str">
        <f>VLOOKUP($B220,'Standards Crosswalk'!$A:$H,7,FALSE)</f>
        <v>3.11.1, 3.11.2, 3.11.3</v>
      </c>
      <c r="R220" s="180" t="str">
        <f>VLOOKUP($B220,'Standards Crosswalk'!$A:$H,8,FALSE)</f>
        <v>SI-2</v>
      </c>
      <c r="S220" s="180" t="str">
        <f>VLOOKUP($B220,'Standards Crosswalk'!$A:$I,9,FALSE)</f>
        <v>11.2, 12.8</v>
      </c>
      <c r="T220" s="164"/>
      <c r="U220" s="164"/>
      <c r="V220" s="164"/>
      <c r="W220" s="164"/>
      <c r="X220" s="164"/>
      <c r="Y220" s="164"/>
      <c r="Z220" s="164"/>
    </row>
    <row r="221" ht="13.5" customHeight="1">
      <c r="A221" s="164">
        <f t="shared" si="3"/>
        <v>219</v>
      </c>
      <c r="B221" s="171" t="s">
        <v>955</v>
      </c>
      <c r="C221" s="164" t="str">
        <f>VLOOKUP(B221,HECVAT!A:E,2,FALSE)</f>
        <v>Do your workforce members receive regular training related to the HIPAA Privacy and Security Rules and the HITECH Act?</v>
      </c>
      <c r="D221" s="212" t="str">
        <f>VLOOKUP(B221,HECVAT!A:E,4,FALSE)</f>
        <v/>
      </c>
      <c r="E221" s="174" t="b">
        <f>IF(Questions!$K221&gt;20,TRUE,FALSE)</f>
        <v>0</v>
      </c>
      <c r="F221" s="174" t="s">
        <v>152</v>
      </c>
      <c r="G221" s="171" t="s">
        <v>92</v>
      </c>
      <c r="H221" s="176">
        <v>1.0</v>
      </c>
      <c r="I221" s="164" t="str">
        <f>VLOOKUP(B221,HECVAT!A:E,3,FALSE)</f>
        <v/>
      </c>
      <c r="J221" s="164">
        <f>IF(Questions!$G221=Questions!$I221,1,0)</f>
        <v>0</v>
      </c>
      <c r="K221" s="164">
        <f>IF(Questions!$H221=1,20,"")</f>
        <v>20</v>
      </c>
      <c r="L221" s="164">
        <f>IF(Questions!$H221=1,J221*K221,"")</f>
        <v>0</v>
      </c>
      <c r="M221" s="180" t="str">
        <f>VLOOKUP($B221,'Standards Crosswalk'!$A:$H,3,FALSE)</f>
        <v>CSC 17</v>
      </c>
      <c r="N221" s="180" t="str">
        <f>VLOOKUP($B221,'Standards Crosswalk'!$A:$H,4,FALSE)</f>
        <v>§164.308(a)(5)(i)</v>
      </c>
      <c r="O221" s="180" t="str">
        <f>VLOOKUP($B221,'Standards Crosswalk'!$A:$H,5,FALSE)</f>
        <v>18.1.1, 7.2.2</v>
      </c>
      <c r="P221" s="180" t="str">
        <f>VLOOKUP($B221,'Standards Crosswalk'!$A:$H,6,FALSE)</f>
        <v>ID.GV-3</v>
      </c>
      <c r="Q221" s="180" t="str">
        <f>VLOOKUP($B221,'Standards Crosswalk'!$A:$H,7,FALSE)</f>
        <v>3.2.2</v>
      </c>
      <c r="R221" s="180" t="str">
        <f>VLOOKUP($B221,'Standards Crosswalk'!$A:$H,8,FALSE)</f>
        <v>AT-3</v>
      </c>
      <c r="S221" s="180" t="str">
        <f>VLOOKUP($B221,'Standards Crosswalk'!$A:$I,9,FALSE)</f>
        <v/>
      </c>
      <c r="T221" s="164"/>
      <c r="U221" s="164"/>
      <c r="V221" s="164"/>
      <c r="W221" s="164"/>
      <c r="X221" s="164"/>
      <c r="Y221" s="164"/>
      <c r="Z221" s="164"/>
    </row>
    <row r="222" ht="13.5" customHeight="1">
      <c r="A222" s="164">
        <f t="shared" si="3"/>
        <v>220</v>
      </c>
      <c r="B222" s="171" t="s">
        <v>960</v>
      </c>
      <c r="C222" s="164" t="str">
        <f>VLOOKUP(B222,HECVAT!A:E,2,FALSE)</f>
        <v>Do you monitor or receive information regarding changes in HIPAA regulations?</v>
      </c>
      <c r="D222" s="212" t="str">
        <f>VLOOKUP(B222,HECVAT!A:E,4,FALSE)</f>
        <v/>
      </c>
      <c r="E222" s="174" t="b">
        <f>IF(Questions!$K222&gt;20,TRUE,FALSE)</f>
        <v>0</v>
      </c>
      <c r="F222" s="174" t="s">
        <v>152</v>
      </c>
      <c r="G222" s="171" t="s">
        <v>92</v>
      </c>
      <c r="H222" s="176">
        <v>1.0</v>
      </c>
      <c r="I222" s="164" t="str">
        <f>VLOOKUP(B222,HECVAT!A:E,3,FALSE)</f>
        <v/>
      </c>
      <c r="J222" s="164">
        <f>IF(Questions!$G222=Questions!$I222,1,0)</f>
        <v>0</v>
      </c>
      <c r="K222" s="164">
        <f>IF(Questions!$H222=1,20,"")</f>
        <v>20</v>
      </c>
      <c r="L222" s="164">
        <f>IF(Questions!$H222=1,J222*K222,"")</f>
        <v>0</v>
      </c>
      <c r="M222" s="180" t="str">
        <f>VLOOKUP($B222,'Standards Crosswalk'!$A:$H,3,FALSE)</f>
        <v>CSC 13</v>
      </c>
      <c r="N222" s="180" t="str">
        <f>VLOOKUP($B222,'Standards Crosswalk'!$A:$H,4,FALSE)</f>
        <v>§164.316(b)(2)(iii)</v>
      </c>
      <c r="O222" s="180" t="str">
        <f>VLOOKUP($B222,'Standards Crosswalk'!$A:$H,5,FALSE)</f>
        <v>18.1.1</v>
      </c>
      <c r="P222" s="180" t="str">
        <f>VLOOKUP($B222,'Standards Crosswalk'!$A:$H,6,FALSE)</f>
        <v>ID.GV-3</v>
      </c>
      <c r="Q222" s="180" t="str">
        <f>VLOOKUP($B222,'Standards Crosswalk'!$A:$H,7,FALSE)</f>
        <v/>
      </c>
      <c r="R222" s="180" t="str">
        <f>VLOOKUP($B222,'Standards Crosswalk'!$A:$H,8,FALSE)</f>
        <v/>
      </c>
      <c r="S222" s="180" t="str">
        <f>VLOOKUP($B222,'Standards Crosswalk'!$A:$I,9,FALSE)</f>
        <v/>
      </c>
      <c r="T222" s="164"/>
      <c r="U222" s="164"/>
      <c r="V222" s="164"/>
      <c r="W222" s="164"/>
      <c r="X222" s="164"/>
      <c r="Y222" s="164"/>
      <c r="Z222" s="164"/>
    </row>
    <row r="223" ht="13.5" customHeight="1">
      <c r="A223" s="164">
        <f t="shared" si="3"/>
        <v>221</v>
      </c>
      <c r="B223" s="171" t="s">
        <v>963</v>
      </c>
      <c r="C223" s="164" t="str">
        <f>VLOOKUP(B223,HECVAT!A:E,2,FALSE)</f>
        <v>Has your organization designated HIPAA Privacy and Security officers as required by the Rules?</v>
      </c>
      <c r="D223" s="212" t="str">
        <f>VLOOKUP(B223,HECVAT!A:E,4,FALSE)</f>
        <v/>
      </c>
      <c r="E223" s="174" t="b">
        <f>IF(Questions!$K223&gt;20,TRUE,FALSE)</f>
        <v>1</v>
      </c>
      <c r="F223" s="174" t="s">
        <v>152</v>
      </c>
      <c r="G223" s="171" t="s">
        <v>92</v>
      </c>
      <c r="H223" s="176">
        <v>1.0</v>
      </c>
      <c r="I223" s="164" t="str">
        <f>VLOOKUP(B223,HECVAT!A:E,3,FALSE)</f>
        <v/>
      </c>
      <c r="J223" s="164">
        <f>IF(Questions!$G223=Questions!$I223,1,0)</f>
        <v>0</v>
      </c>
      <c r="K223" s="164">
        <f>IF(Questions!$H223=1,25,"")</f>
        <v>25</v>
      </c>
      <c r="L223" s="164">
        <f>IF(Questions!$H223=1,J223*K223,"")</f>
        <v>0</v>
      </c>
      <c r="M223" s="180" t="str">
        <f>VLOOKUP($B223,'Standards Crosswalk'!$A:$H,3,FALSE)</f>
        <v>CSC 17</v>
      </c>
      <c r="N223" s="180" t="str">
        <f>VLOOKUP($B223,'Standards Crosswalk'!$A:$H,4,FALSE)</f>
        <v>§164.308(a)(2)</v>
      </c>
      <c r="O223" s="180" t="str">
        <f>VLOOKUP($B223,'Standards Crosswalk'!$A:$H,5,FALSE)</f>
        <v>18.1.1</v>
      </c>
      <c r="P223" s="180" t="str">
        <f>VLOOKUP($B223,'Standards Crosswalk'!$A:$H,6,FALSE)</f>
        <v>ID.GV-3</v>
      </c>
      <c r="Q223" s="180" t="str">
        <f>VLOOKUP($B223,'Standards Crosswalk'!$A:$H,7,FALSE)</f>
        <v/>
      </c>
      <c r="R223" s="180" t="str">
        <f>VLOOKUP($B223,'Standards Crosswalk'!$A:$H,8,FALSE)</f>
        <v/>
      </c>
      <c r="S223" s="180" t="str">
        <f>VLOOKUP($B223,'Standards Crosswalk'!$A:$I,9,FALSE)</f>
        <v/>
      </c>
      <c r="T223" s="164"/>
      <c r="U223" s="164"/>
      <c r="V223" s="164"/>
      <c r="W223" s="164"/>
      <c r="X223" s="164"/>
      <c r="Y223" s="164"/>
      <c r="Z223" s="164"/>
    </row>
    <row r="224" ht="13.5" customHeight="1">
      <c r="A224" s="164">
        <f t="shared" si="3"/>
        <v>222</v>
      </c>
      <c r="B224" s="171" t="s">
        <v>966</v>
      </c>
      <c r="C224" s="164" t="str">
        <f>VLOOKUP(B224,HECVAT!A:E,2,FALSE)</f>
        <v>Do you comply with the requirements of the Health Information Technology for Economic and Clinical Health Act (HITECH)?</v>
      </c>
      <c r="D224" s="212" t="str">
        <f>VLOOKUP(B224,HECVAT!A:E,4,FALSE)</f>
        <v/>
      </c>
      <c r="E224" s="174" t="b">
        <f>IF(Questions!$K224&gt;20,TRUE,FALSE)</f>
        <v>1</v>
      </c>
      <c r="F224" s="174" t="s">
        <v>152</v>
      </c>
      <c r="G224" s="171" t="s">
        <v>92</v>
      </c>
      <c r="H224" s="176">
        <v>1.0</v>
      </c>
      <c r="I224" s="164" t="str">
        <f>VLOOKUP(B224,HECVAT!A:E,3,FALSE)</f>
        <v/>
      </c>
      <c r="J224" s="164">
        <f>IF(Questions!$G224=Questions!$I224,1,0)</f>
        <v>0</v>
      </c>
      <c r="K224" s="164">
        <f>IF(Questions!$H224=1,25,"")</f>
        <v>25</v>
      </c>
      <c r="L224" s="164">
        <f>IF(Questions!$H224=1,J224*K224,"")</f>
        <v>0</v>
      </c>
      <c r="M224" s="180" t="str">
        <f>VLOOKUP($B224,'Standards Crosswalk'!$A:$H,3,FALSE)</f>
        <v>CSC 13</v>
      </c>
      <c r="N224" s="180" t="str">
        <f>VLOOKUP($B224,'Standards Crosswalk'!$A:$H,4,FALSE)</f>
        <v/>
      </c>
      <c r="O224" s="180" t="str">
        <f>VLOOKUP($B224,'Standards Crosswalk'!$A:$H,5,FALSE)</f>
        <v>18.1.1</v>
      </c>
      <c r="P224" s="180" t="str">
        <f>VLOOKUP($B224,'Standards Crosswalk'!$A:$H,6,FALSE)</f>
        <v>ID.GV-3</v>
      </c>
      <c r="Q224" s="180" t="str">
        <f>VLOOKUP($B224,'Standards Crosswalk'!$A:$H,7,FALSE)</f>
        <v/>
      </c>
      <c r="R224" s="180" t="str">
        <f>VLOOKUP($B224,'Standards Crosswalk'!$A:$H,8,FALSE)</f>
        <v/>
      </c>
      <c r="S224" s="180" t="str">
        <f>VLOOKUP($B224,'Standards Crosswalk'!$A:$I,9,FALSE)</f>
        <v/>
      </c>
      <c r="T224" s="164"/>
      <c r="U224" s="164"/>
      <c r="V224" s="164"/>
      <c r="W224" s="164"/>
      <c r="X224" s="164"/>
      <c r="Y224" s="164"/>
      <c r="Z224" s="164"/>
    </row>
    <row r="225" ht="13.5" customHeight="1">
      <c r="A225" s="164">
        <f t="shared" si="3"/>
        <v>223</v>
      </c>
      <c r="B225" s="171" t="s">
        <v>968</v>
      </c>
      <c r="C225" s="164" t="str">
        <f>VLOOKUP(B225,HECVAT!A:E,2,FALSE)</f>
        <v>Do you have an incident response process and reporting in place to investigate any potential incidents and report actual incidents?</v>
      </c>
      <c r="D225" s="212" t="str">
        <f>VLOOKUP(B225,HECVAT!A:E,4,FALSE)</f>
        <v/>
      </c>
      <c r="E225" s="174" t="b">
        <f>IF(Questions!$K225&gt;20,TRUE,FALSE)</f>
        <v>0</v>
      </c>
      <c r="F225" s="174" t="s">
        <v>152</v>
      </c>
      <c r="G225" s="171" t="s">
        <v>92</v>
      </c>
      <c r="H225" s="176">
        <v>1.0</v>
      </c>
      <c r="I225" s="164" t="str">
        <f>VLOOKUP(B225,HECVAT!A:E,3,FALSE)</f>
        <v/>
      </c>
      <c r="J225" s="164">
        <f>IF(Questions!$G225=Questions!$I225,1,0)</f>
        <v>0</v>
      </c>
      <c r="K225" s="164">
        <f>IF(Questions!$H225=1,20,"")</f>
        <v>20</v>
      </c>
      <c r="L225" s="164">
        <f>IF(Questions!$H225=1,J225*K225,"")</f>
        <v>0</v>
      </c>
      <c r="M225" s="180" t="str">
        <f>VLOOKUP($B225,'Standards Crosswalk'!$A:$H,3,FALSE)</f>
        <v>CSC 19</v>
      </c>
      <c r="N225" s="180" t="str">
        <f>VLOOKUP($B225,'Standards Crosswalk'!$A:$H,4,FALSE)</f>
        <v>§164.308(a)(6)(i)</v>
      </c>
      <c r="O225" s="180" t="str">
        <f>VLOOKUP($B225,'Standards Crosswalk'!$A:$H,5,FALSE)</f>
        <v>16.1.1</v>
      </c>
      <c r="P225" s="180" t="str">
        <f>VLOOKUP($B225,'Standards Crosswalk'!$A:$H,6,FALSE)</f>
        <v>ID.GV-3</v>
      </c>
      <c r="Q225" s="180" t="str">
        <f>VLOOKUP($B225,'Standards Crosswalk'!$A:$H,7,FALSE)</f>
        <v>3.6.1, 3.14.1</v>
      </c>
      <c r="R225" s="180" t="str">
        <f>VLOOKUP($B225,'Standards Crosswalk'!$A:$H,8,FALSE)</f>
        <v>IR-2, IR-4, IR-5, IR-7</v>
      </c>
      <c r="S225" s="180" t="str">
        <f>VLOOKUP($B225,'Standards Crosswalk'!$A:$I,9,FALSE)</f>
        <v>12.10, 10.10</v>
      </c>
      <c r="T225" s="164"/>
      <c r="U225" s="164"/>
      <c r="V225" s="164"/>
      <c r="W225" s="164"/>
      <c r="X225" s="164"/>
      <c r="Y225" s="164"/>
      <c r="Z225" s="164"/>
    </row>
    <row r="226" ht="13.5" customHeight="1">
      <c r="A226" s="164">
        <f t="shared" si="3"/>
        <v>224</v>
      </c>
      <c r="B226" s="171" t="s">
        <v>975</v>
      </c>
      <c r="C226" s="164" t="str">
        <f>VLOOKUP(B226,HECVAT!A:E,2,FALSE)</f>
        <v>Do you have a plan to comply with the Breach Notification requirements if there is a breach of data?</v>
      </c>
      <c r="D226" s="212" t="str">
        <f>VLOOKUP(B226,HECVAT!A:E,4,FALSE)</f>
        <v/>
      </c>
      <c r="E226" s="174" t="b">
        <f>IF(Questions!$K226&gt;20,TRUE,FALSE)</f>
        <v>1</v>
      </c>
      <c r="F226" s="174" t="s">
        <v>152</v>
      </c>
      <c r="G226" s="171" t="s">
        <v>92</v>
      </c>
      <c r="H226" s="176">
        <v>1.0</v>
      </c>
      <c r="I226" s="164" t="str">
        <f>VLOOKUP(B226,HECVAT!A:E,3,FALSE)</f>
        <v/>
      </c>
      <c r="J226" s="164">
        <f>IF(Questions!$G226=Questions!$I226,1,0)</f>
        <v>0</v>
      </c>
      <c r="K226" s="164">
        <f>IF(Questions!$H226=1,25,"")</f>
        <v>25</v>
      </c>
      <c r="L226" s="164">
        <f>IF(Questions!$H226=1,J226*K226,"")</f>
        <v>0</v>
      </c>
      <c r="M226" s="180" t="str">
        <f>VLOOKUP($B226,'Standards Crosswalk'!$A:$H,3,FALSE)</f>
        <v>CSC 19</v>
      </c>
      <c r="N226" s="180" t="str">
        <f>VLOOKUP($B226,'Standards Crosswalk'!$A:$H,4,FALSE)</f>
        <v>§164.308(a)(6)(ii)</v>
      </c>
      <c r="O226" s="180" t="str">
        <f>VLOOKUP($B226,'Standards Crosswalk'!$A:$H,5,FALSE)</f>
        <v>16.1.2, 16.1.5, 18.1.1</v>
      </c>
      <c r="P226" s="180" t="str">
        <f>VLOOKUP($B226,'Standards Crosswalk'!$A:$H,6,FALSE)</f>
        <v>ID.GV-3</v>
      </c>
      <c r="Q226" s="180" t="str">
        <f>VLOOKUP($B226,'Standards Crosswalk'!$A:$H,7,FALSE)</f>
        <v>3.6.2, 3.12.2</v>
      </c>
      <c r="R226" s="180" t="str">
        <f>VLOOKUP($B226,'Standards Crosswalk'!$A:$H,8,FALSE)</f>
        <v>IR-6</v>
      </c>
      <c r="S226" s="180">
        <f>VLOOKUP($B226,'Standards Crosswalk'!$A:$I,9,FALSE)</f>
        <v>12.8</v>
      </c>
      <c r="T226" s="164"/>
      <c r="U226" s="164"/>
      <c r="V226" s="164"/>
      <c r="W226" s="164"/>
      <c r="X226" s="164"/>
      <c r="Y226" s="164"/>
      <c r="Z226" s="164"/>
    </row>
    <row r="227" ht="13.5" customHeight="1">
      <c r="A227" s="164">
        <f t="shared" si="3"/>
        <v>225</v>
      </c>
      <c r="B227" s="171" t="s">
        <v>981</v>
      </c>
      <c r="C227" s="164" t="str">
        <f>VLOOKUP(B227,HECVAT!A:E,2,FALSE)</f>
        <v>Have you conducted a risk analysis as required under the Security Rule?</v>
      </c>
      <c r="D227" s="212" t="str">
        <f>VLOOKUP(B227,HECVAT!A:E,4,FALSE)</f>
        <v/>
      </c>
      <c r="E227" s="174" t="b">
        <f>IF(Questions!$K227&gt;20,TRUE,FALSE)</f>
        <v>1</v>
      </c>
      <c r="F227" s="174" t="s">
        <v>152</v>
      </c>
      <c r="G227" s="171" t="s">
        <v>92</v>
      </c>
      <c r="H227" s="176">
        <v>1.0</v>
      </c>
      <c r="I227" s="164" t="str">
        <f>VLOOKUP(B227,HECVAT!A:E,3,FALSE)</f>
        <v/>
      </c>
      <c r="J227" s="164">
        <f>IF(Questions!$G227=Questions!$I227,1,0)</f>
        <v>0</v>
      </c>
      <c r="K227" s="164">
        <f>IF(Questions!$H227=1,25,"")</f>
        <v>25</v>
      </c>
      <c r="L227" s="164">
        <f>IF(Questions!$H227=1,J227*K227,"")</f>
        <v>0</v>
      </c>
      <c r="M227" s="180" t="str">
        <f>VLOOKUP($B227,'Standards Crosswalk'!$A:$H,3,FALSE)</f>
        <v>CSC 13</v>
      </c>
      <c r="N227" s="180" t="str">
        <f>VLOOKUP($B227,'Standards Crosswalk'!$A:$H,4,FALSE)</f>
        <v>§164.308(a)(1)(i)</v>
      </c>
      <c r="O227" s="180" t="str">
        <f>VLOOKUP($B227,'Standards Crosswalk'!$A:$H,5,FALSE)</f>
        <v/>
      </c>
      <c r="P227" s="180" t="str">
        <f>VLOOKUP($B227,'Standards Crosswalk'!$A:$H,6,FALSE)</f>
        <v>ID.GV-3</v>
      </c>
      <c r="Q227" s="180" t="str">
        <f>VLOOKUP($B227,'Standards Crosswalk'!$A:$H,7,FALSE)</f>
        <v/>
      </c>
      <c r="R227" s="180" t="str">
        <f>VLOOKUP($B227,'Standards Crosswalk'!$A:$H,8,FALSE)</f>
        <v/>
      </c>
      <c r="S227" s="180">
        <f>VLOOKUP($B227,'Standards Crosswalk'!$A:$I,9,FALSE)</f>
        <v>12.2</v>
      </c>
      <c r="T227" s="164"/>
      <c r="U227" s="164"/>
      <c r="V227" s="164"/>
      <c r="W227" s="164"/>
      <c r="X227" s="164"/>
      <c r="Y227" s="164"/>
      <c r="Z227" s="164"/>
    </row>
    <row r="228" ht="13.5" customHeight="1">
      <c r="A228" s="164">
        <f t="shared" si="3"/>
        <v>226</v>
      </c>
      <c r="B228" s="171" t="s">
        <v>983</v>
      </c>
      <c r="C228" s="164" t="str">
        <f>VLOOKUP(B228,HECVAT!A:E,2,FALSE)</f>
        <v>Have you identified areas of risks?</v>
      </c>
      <c r="D228" s="212" t="str">
        <f>VLOOKUP(B228,HECVAT!A:E,4,FALSE)</f>
        <v/>
      </c>
      <c r="E228" s="174" t="b">
        <f>IF(Questions!$K228&gt;20,TRUE,FALSE)</f>
        <v>0</v>
      </c>
      <c r="F228" s="174" t="s">
        <v>152</v>
      </c>
      <c r="G228" s="171" t="s">
        <v>92</v>
      </c>
      <c r="H228" s="176">
        <v>1.0</v>
      </c>
      <c r="I228" s="164" t="str">
        <f>VLOOKUP(B228,HECVAT!A:E,3,FALSE)</f>
        <v/>
      </c>
      <c r="J228" s="164">
        <f>IF(Questions!$G228=Questions!$I228,1,0)</f>
        <v>0</v>
      </c>
      <c r="K228" s="164">
        <f>IF(Questions!$H228=1,20,"")</f>
        <v>20</v>
      </c>
      <c r="L228" s="164">
        <f>IF(Questions!$H228=1,J228*K228,"")</f>
        <v>0</v>
      </c>
      <c r="M228" s="180" t="str">
        <f>VLOOKUP($B228,'Standards Crosswalk'!$A:$H,3,FALSE)</f>
        <v>CSC 4</v>
      </c>
      <c r="N228" s="180" t="str">
        <f>VLOOKUP($B228,'Standards Crosswalk'!$A:$H,4,FALSE)</f>
        <v>§164.308(a)(1)(i), §164.308(a)(1)(ii)(A)</v>
      </c>
      <c r="O228" s="180" t="str">
        <f>VLOOKUP($B228,'Standards Crosswalk'!$A:$H,5,FALSE)</f>
        <v/>
      </c>
      <c r="P228" s="180" t="str">
        <f>VLOOKUP($B228,'Standards Crosswalk'!$A:$H,6,FALSE)</f>
        <v>ID.GV-3</v>
      </c>
      <c r="Q228" s="180" t="str">
        <f>VLOOKUP($B228,'Standards Crosswalk'!$A:$H,7,FALSE)</f>
        <v/>
      </c>
      <c r="R228" s="180" t="str">
        <f>VLOOKUP($B228,'Standards Crosswalk'!$A:$H,8,FALSE)</f>
        <v/>
      </c>
      <c r="S228" s="180">
        <f>VLOOKUP($B228,'Standards Crosswalk'!$A:$I,9,FALSE)</f>
        <v>12.2</v>
      </c>
      <c r="T228" s="164"/>
      <c r="U228" s="164"/>
      <c r="V228" s="164"/>
      <c r="W228" s="164"/>
      <c r="X228" s="164"/>
      <c r="Y228" s="164"/>
      <c r="Z228" s="164"/>
    </row>
    <row r="229" ht="13.5" customHeight="1">
      <c r="A229" s="164">
        <f t="shared" si="3"/>
        <v>227</v>
      </c>
      <c r="B229" s="171" t="s">
        <v>986</v>
      </c>
      <c r="C229" s="164" t="str">
        <f>VLOOKUP(B229,HECVAT!A:E,2,FALSE)</f>
        <v>Have you taken actions to mitigate the identified risks?</v>
      </c>
      <c r="D229" s="212" t="str">
        <f>VLOOKUP(B229,HECVAT!A:E,4,FALSE)</f>
        <v/>
      </c>
      <c r="E229" s="174" t="b">
        <f>IF(Questions!$K229&gt;20,TRUE,FALSE)</f>
        <v>0</v>
      </c>
      <c r="F229" s="174" t="s">
        <v>152</v>
      </c>
      <c r="G229" s="171" t="s">
        <v>92</v>
      </c>
      <c r="H229" s="176">
        <v>1.0</v>
      </c>
      <c r="I229" s="164" t="str">
        <f>VLOOKUP(B229,HECVAT!A:E,3,FALSE)</f>
        <v/>
      </c>
      <c r="J229" s="164">
        <f>IF(Questions!$G229=Questions!$I229,1,0)</f>
        <v>0</v>
      </c>
      <c r="K229" s="164">
        <f>IF(Questions!$H229=1,20,"")</f>
        <v>20</v>
      </c>
      <c r="L229" s="164">
        <f>IF(Questions!$H229=1,J229*K229,"")</f>
        <v>0</v>
      </c>
      <c r="M229" s="180" t="str">
        <f>VLOOKUP($B229,'Standards Crosswalk'!$A:$H,3,FALSE)</f>
        <v>CSC 4</v>
      </c>
      <c r="N229" s="180" t="str">
        <f>VLOOKUP($B229,'Standards Crosswalk'!$A:$H,4,FALSE)</f>
        <v>§164.308(a)(1)(ii)(B)</v>
      </c>
      <c r="O229" s="180" t="str">
        <f>VLOOKUP($B229,'Standards Crosswalk'!$A:$H,5,FALSE)</f>
        <v/>
      </c>
      <c r="P229" s="180" t="str">
        <f>VLOOKUP($B229,'Standards Crosswalk'!$A:$H,6,FALSE)</f>
        <v>ID.GV-3</v>
      </c>
      <c r="Q229" s="180" t="str">
        <f>VLOOKUP($B229,'Standards Crosswalk'!$A:$H,7,FALSE)</f>
        <v/>
      </c>
      <c r="R229" s="180" t="str">
        <f>VLOOKUP($B229,'Standards Crosswalk'!$A:$H,8,FALSE)</f>
        <v/>
      </c>
      <c r="S229" s="180">
        <f>VLOOKUP($B229,'Standards Crosswalk'!$A:$I,9,FALSE)</f>
        <v>12.2</v>
      </c>
      <c r="T229" s="164"/>
      <c r="U229" s="164"/>
      <c r="V229" s="164"/>
      <c r="W229" s="164"/>
      <c r="X229" s="164"/>
      <c r="Y229" s="164"/>
      <c r="Z229" s="164"/>
    </row>
    <row r="230" ht="13.5" customHeight="1">
      <c r="A230" s="164">
        <f t="shared" si="3"/>
        <v>228</v>
      </c>
      <c r="B230" s="171" t="s">
        <v>988</v>
      </c>
      <c r="C230" s="164" t="str">
        <f>VLOOKUP(B230,HECVAT!A:E,2,FALSE)</f>
        <v>Does your application require user and system administrator password changes at a frequency no greater than 90 days?</v>
      </c>
      <c r="D230" s="212" t="str">
        <f>VLOOKUP(B230,HECVAT!A:E,4,FALSE)</f>
        <v/>
      </c>
      <c r="E230" s="174" t="b">
        <f>IF(Questions!$K230&gt;20,TRUE,FALSE)</f>
        <v>0</v>
      </c>
      <c r="F230" s="174" t="s">
        <v>152</v>
      </c>
      <c r="G230" s="171" t="s">
        <v>92</v>
      </c>
      <c r="H230" s="176">
        <v>1.0</v>
      </c>
      <c r="I230" s="164" t="str">
        <f>VLOOKUP(B230,HECVAT!A:E,3,FALSE)</f>
        <v/>
      </c>
      <c r="J230" s="164">
        <f>IF(Questions!$G230=Questions!$I230,1,0)</f>
        <v>0</v>
      </c>
      <c r="K230" s="164">
        <f>IF(Questions!$H230=1,20,"")</f>
        <v>20</v>
      </c>
      <c r="L230" s="164">
        <f>IF(Questions!$H230=1,J230*K230,"")</f>
        <v>0</v>
      </c>
      <c r="M230" s="180" t="str">
        <f>VLOOKUP($B230,'Standards Crosswalk'!$A:$H,3,FALSE)</f>
        <v>CSC 16</v>
      </c>
      <c r="N230" s="180" t="str">
        <f>VLOOKUP($B230,'Standards Crosswalk'!$A:$H,4,FALSE)</f>
        <v>§164.308(a)(5)(ii)(D)</v>
      </c>
      <c r="O230" s="180" t="str">
        <f>VLOOKUP($B230,'Standards Crosswalk'!$A:$H,5,FALSE)</f>
        <v>9.4.3</v>
      </c>
      <c r="P230" s="180" t="str">
        <f>VLOOKUP($B230,'Standards Crosswalk'!$A:$H,6,FALSE)</f>
        <v>ID.GV-3</v>
      </c>
      <c r="Q230" s="180" t="str">
        <f>VLOOKUP($B230,'Standards Crosswalk'!$A:$H,7,FALSE)</f>
        <v>3.5.6</v>
      </c>
      <c r="R230" s="180" t="str">
        <f>VLOOKUP($B230,'Standards Crosswalk'!$A:$H,8,FALSE)</f>
        <v>IA-4</v>
      </c>
      <c r="S230" s="180" t="str">
        <f>VLOOKUP($B230,'Standards Crosswalk'!$A:$I,9,FALSE)</f>
        <v/>
      </c>
      <c r="T230" s="164"/>
      <c r="U230" s="164"/>
      <c r="V230" s="164"/>
      <c r="W230" s="164"/>
      <c r="X230" s="164"/>
      <c r="Y230" s="164"/>
      <c r="Z230" s="164"/>
    </row>
    <row r="231" ht="13.5" customHeight="1">
      <c r="A231" s="164">
        <f t="shared" si="3"/>
        <v>229</v>
      </c>
      <c r="B231" s="171" t="s">
        <v>991</v>
      </c>
      <c r="C231" s="164" t="str">
        <f>VLOOKUP(B231,HECVAT!A:E,2,FALSE)</f>
        <v>Does your application require a user to set their own password after an administrator reset or on first use of the account?</v>
      </c>
      <c r="D231" s="212" t="str">
        <f>VLOOKUP(B231,HECVAT!A:E,4,FALSE)</f>
        <v/>
      </c>
      <c r="E231" s="174" t="b">
        <f>IF(Questions!$K231&gt;20,TRUE,FALSE)</f>
        <v>0</v>
      </c>
      <c r="F231" s="174" t="s">
        <v>152</v>
      </c>
      <c r="G231" s="171" t="s">
        <v>92</v>
      </c>
      <c r="H231" s="176">
        <v>1.0</v>
      </c>
      <c r="I231" s="164" t="str">
        <f>VLOOKUP(B231,HECVAT!A:E,3,FALSE)</f>
        <v/>
      </c>
      <c r="J231" s="164">
        <f>IF(Questions!$G231=Questions!$I231,1,0)</f>
        <v>0</v>
      </c>
      <c r="K231" s="164">
        <f>IF(Questions!$H231=1,20,"")</f>
        <v>20</v>
      </c>
      <c r="L231" s="164">
        <f>IF(Questions!$H231=1,J231*K231,"")</f>
        <v>0</v>
      </c>
      <c r="M231" s="180" t="str">
        <f>VLOOKUP($B231,'Standards Crosswalk'!$A:$H,3,FALSE)</f>
        <v>CSC 16</v>
      </c>
      <c r="N231" s="180" t="str">
        <f>VLOOKUP($B231,'Standards Crosswalk'!$A:$H,4,FALSE)</f>
        <v>§164.308(a)(5)(ii)(D)</v>
      </c>
      <c r="O231" s="180" t="str">
        <f>VLOOKUP($B231,'Standards Crosswalk'!$A:$H,5,FALSE)</f>
        <v>9.4.3</v>
      </c>
      <c r="P231" s="180" t="str">
        <f>VLOOKUP($B231,'Standards Crosswalk'!$A:$H,6,FALSE)</f>
        <v>ID.GV-3</v>
      </c>
      <c r="Q231" s="180" t="str">
        <f>VLOOKUP($B231,'Standards Crosswalk'!$A:$H,7,FALSE)</f>
        <v>3.5.9</v>
      </c>
      <c r="R231" s="180" t="str">
        <f>VLOOKUP($B231,'Standards Crosswalk'!$A:$H,8,FALSE)</f>
        <v>IA-5(1)</v>
      </c>
      <c r="S231" s="180" t="str">
        <f>VLOOKUP($B231,'Standards Crosswalk'!$A:$I,9,FALSE)</f>
        <v/>
      </c>
      <c r="T231" s="164"/>
      <c r="U231" s="164"/>
      <c r="V231" s="164"/>
      <c r="W231" s="164"/>
      <c r="X231" s="164"/>
      <c r="Y231" s="164"/>
      <c r="Z231" s="164"/>
    </row>
    <row r="232" ht="13.5" customHeight="1">
      <c r="A232" s="164">
        <f t="shared" si="3"/>
        <v>230</v>
      </c>
      <c r="B232" s="171" t="s">
        <v>995</v>
      </c>
      <c r="C232" s="164" t="str">
        <f>VLOOKUP(B232,HECVAT!A:E,2,FALSE)</f>
        <v>Does your application lock-out an account after a number of failed login attempts? </v>
      </c>
      <c r="D232" s="212" t="str">
        <f>VLOOKUP(B232,HECVAT!A:E,4,FALSE)</f>
        <v/>
      </c>
      <c r="E232" s="174" t="b">
        <f>IF(Questions!$K232&gt;20,TRUE,FALSE)</f>
        <v>0</v>
      </c>
      <c r="F232" s="174" t="s">
        <v>152</v>
      </c>
      <c r="G232" s="171" t="s">
        <v>92</v>
      </c>
      <c r="H232" s="176">
        <v>1.0</v>
      </c>
      <c r="I232" s="164" t="str">
        <f>VLOOKUP(B232,HECVAT!A:E,3,FALSE)</f>
        <v/>
      </c>
      <c r="J232" s="164">
        <f>IF(Questions!$G232=Questions!$I232,1,0)</f>
        <v>0</v>
      </c>
      <c r="K232" s="164">
        <f>IF(Questions!$H232=1,20,"")</f>
        <v>20</v>
      </c>
      <c r="L232" s="164">
        <f>IF(Questions!$H232=1,J232*K232,"")</f>
        <v>0</v>
      </c>
      <c r="M232" s="180" t="str">
        <f>VLOOKUP($B232,'Standards Crosswalk'!$A:$H,3,FALSE)</f>
        <v>CSC 16</v>
      </c>
      <c r="N232" s="180" t="str">
        <f>VLOOKUP($B232,'Standards Crosswalk'!$A:$H,4,FALSE)</f>
        <v>§164.308(a)(4), §164.312(a)(2)(ii),  
§164.312(a)(2)(iii)</v>
      </c>
      <c r="O232" s="180" t="str">
        <f>VLOOKUP($B232,'Standards Crosswalk'!$A:$H,5,FALSE)</f>
        <v>9.4.3</v>
      </c>
      <c r="P232" s="180" t="str">
        <f>VLOOKUP($B232,'Standards Crosswalk'!$A:$H,6,FALSE)</f>
        <v>ID.GV-3</v>
      </c>
      <c r="Q232" s="180" t="str">
        <f>VLOOKUP($B232,'Standards Crosswalk'!$A:$H,7,FALSE)</f>
        <v>3.1.8</v>
      </c>
      <c r="R232" s="180" t="str">
        <f>VLOOKUP($B232,'Standards Crosswalk'!$A:$H,8,FALSE)</f>
        <v>AC-7</v>
      </c>
      <c r="S232" s="180" t="str">
        <f>VLOOKUP($B232,'Standards Crosswalk'!$A:$I,9,FALSE)</f>
        <v/>
      </c>
      <c r="T232" s="164"/>
      <c r="U232" s="164"/>
      <c r="V232" s="164"/>
      <c r="W232" s="164"/>
      <c r="X232" s="164"/>
      <c r="Y232" s="164"/>
      <c r="Z232" s="164"/>
    </row>
    <row r="233" ht="13.5" customHeight="1">
      <c r="A233" s="164">
        <f t="shared" si="3"/>
        <v>231</v>
      </c>
      <c r="B233" s="171" t="s">
        <v>1001</v>
      </c>
      <c r="C233" s="164" t="str">
        <f>VLOOKUP(B233,HECVAT!A:E,2,FALSE)</f>
        <v>Does your application automatically lock or log-out an account after a period of inactivity?</v>
      </c>
      <c r="D233" s="212" t="str">
        <f>VLOOKUP(B233,HECVAT!A:E,4,FALSE)</f>
        <v/>
      </c>
      <c r="E233" s="174" t="b">
        <f>IF(Questions!$K233&gt;20,TRUE,FALSE)</f>
        <v>0</v>
      </c>
      <c r="F233" s="174" t="s">
        <v>152</v>
      </c>
      <c r="G233" s="171" t="s">
        <v>92</v>
      </c>
      <c r="H233" s="176">
        <v>1.0</v>
      </c>
      <c r="I233" s="164" t="str">
        <f>VLOOKUP(B233,HECVAT!A:E,3,FALSE)</f>
        <v/>
      </c>
      <c r="J233" s="164">
        <f>IF(Questions!$G233=Questions!$I233,1,0)</f>
        <v>0</v>
      </c>
      <c r="K233" s="164">
        <f>IF(Questions!$H233=1,20,"")</f>
        <v>20</v>
      </c>
      <c r="L233" s="164">
        <f>IF(Questions!$H233=1,J233*K233,"")</f>
        <v>0</v>
      </c>
      <c r="M233" s="180" t="str">
        <f>VLOOKUP($B233,'Standards Crosswalk'!$A:$H,3,FALSE)</f>
        <v>CSC 16</v>
      </c>
      <c r="N233" s="180" t="str">
        <f>VLOOKUP($B233,'Standards Crosswalk'!$A:$H,4,FALSE)</f>
        <v>§164.308(a)(4),
§164.312(a)(2)(ii), §164.312(a)(2)(iii)</v>
      </c>
      <c r="O233" s="180" t="str">
        <f>VLOOKUP($B233,'Standards Crosswalk'!$A:$H,5,FALSE)</f>
        <v>9.4.3</v>
      </c>
      <c r="P233" s="180" t="str">
        <f>VLOOKUP($B233,'Standards Crosswalk'!$A:$H,6,FALSE)</f>
        <v>ID.GV-3</v>
      </c>
      <c r="Q233" s="180" t="str">
        <f>VLOOKUP($B233,'Standards Crosswalk'!$A:$H,7,FALSE)</f>
        <v>3.1.10, 3.1.11</v>
      </c>
      <c r="R233" s="180" t="str">
        <f>VLOOKUP($B233,'Standards Crosswalk'!$A:$H,8,FALSE)</f>
        <v>AC-11, AC-11(1), AC-12</v>
      </c>
      <c r="S233" s="180" t="str">
        <f>VLOOKUP($B233,'Standards Crosswalk'!$A:$I,9,FALSE)</f>
        <v>8.x</v>
      </c>
      <c r="T233" s="164"/>
      <c r="U233" s="164"/>
      <c r="V233" s="164"/>
      <c r="W233" s="164"/>
      <c r="X233" s="164"/>
      <c r="Y233" s="164"/>
      <c r="Z233" s="164"/>
    </row>
    <row r="234" ht="13.5" customHeight="1">
      <c r="A234" s="164">
        <f t="shared" si="3"/>
        <v>232</v>
      </c>
      <c r="B234" s="171" t="s">
        <v>1007</v>
      </c>
      <c r="C234" s="164" t="str">
        <f>VLOOKUP(B234,HECVAT!A:E,2,FALSE)</f>
        <v>Are passwords visible in plain text, whether when stored or entered, including service level accounts (i.e. database accounts, etc.)?</v>
      </c>
      <c r="D234" s="212" t="str">
        <f>VLOOKUP(B234,HECVAT!A:E,4,FALSE)</f>
        <v/>
      </c>
      <c r="E234" s="174" t="b">
        <f>IF(Questions!$K234&gt;20,TRUE,FALSE)</f>
        <v>1</v>
      </c>
      <c r="F234" s="174" t="s">
        <v>152</v>
      </c>
      <c r="G234" s="171" t="s">
        <v>85</v>
      </c>
      <c r="H234" s="176">
        <v>1.0</v>
      </c>
      <c r="I234" s="164" t="str">
        <f>VLOOKUP(B234,HECVAT!A:E,3,FALSE)</f>
        <v/>
      </c>
      <c r="J234" s="164">
        <f>IF(Questions!$G234=Questions!$I234,1,0)</f>
        <v>0</v>
      </c>
      <c r="K234" s="164">
        <f>IF(Questions!$H234=1,25,"")</f>
        <v>25</v>
      </c>
      <c r="L234" s="164">
        <f>IF(Questions!$H234=1,J234*K234,"")</f>
        <v>0</v>
      </c>
      <c r="M234" s="180" t="str">
        <f>VLOOKUP($B234,'Standards Crosswalk'!$A:$H,3,FALSE)</f>
        <v>CSC 16</v>
      </c>
      <c r="N234" s="180" t="str">
        <f>VLOOKUP($B234,'Standards Crosswalk'!$A:$H,4,FALSE)</f>
        <v>§164.308(a)(4), 
§164.312(d)</v>
      </c>
      <c r="O234" s="180" t="str">
        <f>VLOOKUP($B234,'Standards Crosswalk'!$A:$H,5,FALSE)</f>
        <v>9.4.3</v>
      </c>
      <c r="P234" s="180" t="str">
        <f>VLOOKUP($B234,'Standards Crosswalk'!$A:$H,6,FALSE)</f>
        <v>ID.GV-3</v>
      </c>
      <c r="Q234" s="180" t="str">
        <f>VLOOKUP($B234,'Standards Crosswalk'!$A:$H,7,FALSE)</f>
        <v>3.5.10</v>
      </c>
      <c r="R234" s="180" t="str">
        <f>VLOOKUP($B234,'Standards Crosswalk'!$A:$H,8,FALSE)</f>
        <v>IA-5(1)</v>
      </c>
      <c r="S234" s="180" t="str">
        <f>VLOOKUP($B234,'Standards Crosswalk'!$A:$I,9,FALSE)</f>
        <v>8.x</v>
      </c>
      <c r="T234" s="164"/>
      <c r="U234" s="164"/>
      <c r="V234" s="164"/>
      <c r="W234" s="164"/>
      <c r="X234" s="164"/>
      <c r="Y234" s="164"/>
      <c r="Z234" s="164"/>
    </row>
    <row r="235" ht="13.5" customHeight="1">
      <c r="A235" s="164">
        <f t="shared" si="3"/>
        <v>233</v>
      </c>
      <c r="B235" s="171" t="s">
        <v>1010</v>
      </c>
      <c r="C235" s="164" t="str">
        <f>VLOOKUP(B235,HECVAT!A:E,2,FALSE)</f>
        <v>If the application is institution-hosted, can all service level and administrative account passwords be changed by the institution?</v>
      </c>
      <c r="D235" s="212" t="str">
        <f>VLOOKUP(B235,HECVAT!A:E,4,FALSE)</f>
        <v/>
      </c>
      <c r="E235" s="174" t="b">
        <f>IF(Questions!$K235&gt;20,TRUE,FALSE)</f>
        <v>0</v>
      </c>
      <c r="F235" s="174" t="s">
        <v>152</v>
      </c>
      <c r="G235" s="171" t="s">
        <v>92</v>
      </c>
      <c r="H235" s="176">
        <v>1.0</v>
      </c>
      <c r="I235" s="164" t="str">
        <f>VLOOKUP(B235,HECVAT!A:E,3,FALSE)</f>
        <v/>
      </c>
      <c r="J235" s="164">
        <f>IF(Questions!$G235=Questions!$I235,1,0)</f>
        <v>0</v>
      </c>
      <c r="K235" s="164">
        <f>IF(Questions!$H235=1,20,"")</f>
        <v>20</v>
      </c>
      <c r="L235" s="164">
        <f>IF(Questions!$H235=1,J235*K235,"")</f>
        <v>0</v>
      </c>
      <c r="M235" s="180" t="str">
        <f>VLOOKUP($B235,'Standards Crosswalk'!$A:$H,3,FALSE)</f>
        <v>CSC 16</v>
      </c>
      <c r="N235" s="180" t="str">
        <f>VLOOKUP($B235,'Standards Crosswalk'!$A:$H,4,FALSE)</f>
        <v>§164.308(a)(4), 
§164.312(d)</v>
      </c>
      <c r="O235" s="180" t="str">
        <f>VLOOKUP($B235,'Standards Crosswalk'!$A:$H,5,FALSE)</f>
        <v/>
      </c>
      <c r="P235" s="180" t="str">
        <f>VLOOKUP($B235,'Standards Crosswalk'!$A:$H,6,FALSE)</f>
        <v>ID.GV-3</v>
      </c>
      <c r="Q235" s="180" t="str">
        <f>VLOOKUP($B235,'Standards Crosswalk'!$A:$H,7,FALSE)</f>
        <v/>
      </c>
      <c r="R235" s="180" t="str">
        <f>VLOOKUP($B235,'Standards Crosswalk'!$A:$H,8,FALSE)</f>
        <v/>
      </c>
      <c r="S235" s="180" t="str">
        <f>VLOOKUP($B235,'Standards Crosswalk'!$A:$I,9,FALSE)</f>
        <v>8.x</v>
      </c>
      <c r="T235" s="164"/>
      <c r="U235" s="164"/>
      <c r="V235" s="164"/>
      <c r="W235" s="164"/>
      <c r="X235" s="164"/>
      <c r="Y235" s="164"/>
      <c r="Z235" s="164"/>
    </row>
    <row r="236" ht="13.5" customHeight="1">
      <c r="A236" s="164">
        <f t="shared" si="3"/>
        <v>234</v>
      </c>
      <c r="B236" s="171" t="s">
        <v>1012</v>
      </c>
      <c r="C236" s="164" t="str">
        <f>VLOOKUP(B236,HECVAT!A:E,2,FALSE)</f>
        <v>Does your application provide the ability to define user access levels?</v>
      </c>
      <c r="D236" s="212" t="str">
        <f>VLOOKUP(B236,HECVAT!A:E,4,FALSE)</f>
        <v/>
      </c>
      <c r="E236" s="174" t="b">
        <f>IF(Questions!$K236&gt;20,TRUE,FALSE)</f>
        <v>0</v>
      </c>
      <c r="F236" s="174" t="s">
        <v>152</v>
      </c>
      <c r="G236" s="171" t="s">
        <v>92</v>
      </c>
      <c r="H236" s="176">
        <v>1.0</v>
      </c>
      <c r="I236" s="164" t="str">
        <f>VLOOKUP(B236,HECVAT!A:E,3,FALSE)</f>
        <v/>
      </c>
      <c r="J236" s="164">
        <f>IF(Questions!$G236=Questions!$I236,1,0)</f>
        <v>0</v>
      </c>
      <c r="K236" s="164">
        <f>IF(Questions!$H236=1,20,"")</f>
        <v>20</v>
      </c>
      <c r="L236" s="164">
        <f>IF(Questions!$H236=1,J236*K236,"")</f>
        <v>0</v>
      </c>
      <c r="M236" s="180" t="str">
        <f>VLOOKUP($B236,'Standards Crosswalk'!$A:$H,3,FALSE)</f>
        <v>CSC 16</v>
      </c>
      <c r="N236" s="180" t="str">
        <f>VLOOKUP($B236,'Standards Crosswalk'!$A:$H,4,FALSE)</f>
        <v>§164.308(a)(4), 
§164.312(a)(1), §164.312(a)(2)(i), 
§164.312(d)</v>
      </c>
      <c r="O236" s="180" t="str">
        <f>VLOOKUP($B236,'Standards Crosswalk'!$A:$H,5,FALSE)</f>
        <v/>
      </c>
      <c r="P236" s="180" t="str">
        <f>VLOOKUP($B236,'Standards Crosswalk'!$A:$H,6,FALSE)</f>
        <v>ID.GV-3</v>
      </c>
      <c r="Q236" s="180" t="str">
        <f>VLOOKUP($B236,'Standards Crosswalk'!$A:$H,7,FALSE)</f>
        <v>3.1.2</v>
      </c>
      <c r="R236" s="180" t="str">
        <f>VLOOKUP($B236,'Standards Crosswalk'!$A:$H,8,FALSE)</f>
        <v/>
      </c>
      <c r="S236" s="180" t="str">
        <f>VLOOKUP($B236,'Standards Crosswalk'!$A:$I,9,FALSE)</f>
        <v>8.x</v>
      </c>
      <c r="T236" s="164"/>
      <c r="U236" s="164"/>
      <c r="V236" s="164"/>
      <c r="W236" s="164"/>
      <c r="X236" s="164"/>
      <c r="Y236" s="164"/>
      <c r="Z236" s="164"/>
    </row>
    <row r="237" ht="13.5" customHeight="1">
      <c r="A237" s="164">
        <f t="shared" si="3"/>
        <v>235</v>
      </c>
      <c r="B237" s="171" t="s">
        <v>1015</v>
      </c>
      <c r="C237" s="164" t="str">
        <f>VLOOKUP(B237,HECVAT!A:E,2,FALSE)</f>
        <v>Does your application support varying levels of access to administrative tasks defined individually per user?</v>
      </c>
      <c r="D237" s="212" t="str">
        <f>VLOOKUP(B237,HECVAT!A:E,4,FALSE)</f>
        <v/>
      </c>
      <c r="E237" s="174" t="b">
        <f>IF(Questions!$K237&gt;20,TRUE,FALSE)</f>
        <v>0</v>
      </c>
      <c r="F237" s="174" t="s">
        <v>152</v>
      </c>
      <c r="G237" s="171" t="s">
        <v>92</v>
      </c>
      <c r="H237" s="176">
        <v>1.0</v>
      </c>
      <c r="I237" s="164" t="str">
        <f>VLOOKUP(B237,HECVAT!A:E,3,FALSE)</f>
        <v/>
      </c>
      <c r="J237" s="164">
        <f>IF(Questions!$G237=Questions!$I237,1,0)</f>
        <v>0</v>
      </c>
      <c r="K237" s="164">
        <f>IF(Questions!$H237=1,20,"")</f>
        <v>20</v>
      </c>
      <c r="L237" s="164">
        <f>IF(Questions!$H237=1,J237*K237,"")</f>
        <v>0</v>
      </c>
      <c r="M237" s="180" t="str">
        <f>VLOOKUP($B237,'Standards Crosswalk'!$A:$H,3,FALSE)</f>
        <v>CSC 16, 5</v>
      </c>
      <c r="N237" s="180" t="str">
        <f>VLOOKUP($B237,'Standards Crosswalk'!$A:$H,4,FALSE)</f>
        <v>§164.308(a)(4),
§164.312(a)(1), §164.312(a)(2)(i), 
§164.312(d)</v>
      </c>
      <c r="O237" s="180" t="str">
        <f>VLOOKUP($B237,'Standards Crosswalk'!$A:$H,5,FALSE)</f>
        <v>9.1.1</v>
      </c>
      <c r="P237" s="180" t="str">
        <f>VLOOKUP($B237,'Standards Crosswalk'!$A:$H,6,FALSE)</f>
        <v>ID.GV-3</v>
      </c>
      <c r="Q237" s="180" t="str">
        <f>VLOOKUP($B237,'Standards Crosswalk'!$A:$H,7,FALSE)</f>
        <v>3.1.2, 3.1.5</v>
      </c>
      <c r="R237" s="180" t="str">
        <f>VLOOKUP($B237,'Standards Crosswalk'!$A:$H,8,FALSE)</f>
        <v/>
      </c>
      <c r="S237" s="180" t="str">
        <f>VLOOKUP($B237,'Standards Crosswalk'!$A:$I,9,FALSE)</f>
        <v>8.x</v>
      </c>
      <c r="T237" s="164"/>
      <c r="U237" s="164"/>
      <c r="V237" s="164"/>
      <c r="W237" s="164"/>
      <c r="X237" s="164"/>
      <c r="Y237" s="164"/>
      <c r="Z237" s="164"/>
    </row>
    <row r="238" ht="13.5" customHeight="1">
      <c r="A238" s="164">
        <f t="shared" si="3"/>
        <v>236</v>
      </c>
      <c r="B238" s="171" t="s">
        <v>1020</v>
      </c>
      <c r="C238" s="164" t="str">
        <f>VLOOKUP(B238,HECVAT!A:E,2,FALSE)</f>
        <v>Does your application support varying levels of access to records based on user ID?</v>
      </c>
      <c r="D238" s="212" t="str">
        <f>VLOOKUP(B238,HECVAT!A:E,4,FALSE)</f>
        <v/>
      </c>
      <c r="E238" s="174" t="b">
        <f>IF(Questions!$K238&gt;20,TRUE,FALSE)</f>
        <v>0</v>
      </c>
      <c r="F238" s="174" t="s">
        <v>152</v>
      </c>
      <c r="G238" s="171" t="s">
        <v>92</v>
      </c>
      <c r="H238" s="176">
        <v>1.0</v>
      </c>
      <c r="I238" s="164" t="str">
        <f>VLOOKUP(B238,HECVAT!A:E,3,FALSE)</f>
        <v/>
      </c>
      <c r="J238" s="164">
        <f>IF(Questions!$G238=Questions!$I238,1,0)</f>
        <v>0</v>
      </c>
      <c r="K238" s="164">
        <f>IF(Questions!$H238=1,20,"")</f>
        <v>20</v>
      </c>
      <c r="L238" s="164">
        <f>IF(Questions!$H238=1,J238*K238,"")</f>
        <v>0</v>
      </c>
      <c r="M238" s="180" t="str">
        <f>VLOOKUP($B238,'Standards Crosswalk'!$A:$H,3,FALSE)</f>
        <v>CSC 16</v>
      </c>
      <c r="N238" s="180" t="str">
        <f>VLOOKUP($B238,'Standards Crosswalk'!$A:$H,4,FALSE)</f>
        <v>§164.308(a)(4), 
§164.312(a)(1), §164.312(a)(2)(i),
§164.312(d)</v>
      </c>
      <c r="O238" s="180" t="str">
        <f>VLOOKUP($B238,'Standards Crosswalk'!$A:$H,5,FALSE)</f>
        <v>9.2.3</v>
      </c>
      <c r="P238" s="180" t="str">
        <f>VLOOKUP($B238,'Standards Crosswalk'!$A:$H,6,FALSE)</f>
        <v>ID.GV-3</v>
      </c>
      <c r="Q238" s="180" t="str">
        <f>VLOOKUP($B238,'Standards Crosswalk'!$A:$H,7,FALSE)</f>
        <v>3.1.2</v>
      </c>
      <c r="R238" s="180" t="str">
        <f>VLOOKUP($B238,'Standards Crosswalk'!$A:$H,8,FALSE)</f>
        <v/>
      </c>
      <c r="S238" s="180" t="str">
        <f>VLOOKUP($B238,'Standards Crosswalk'!$A:$I,9,FALSE)</f>
        <v>8.x</v>
      </c>
      <c r="T238" s="164"/>
      <c r="U238" s="164"/>
      <c r="V238" s="164"/>
      <c r="W238" s="164"/>
      <c r="X238" s="164"/>
      <c r="Y238" s="164"/>
      <c r="Z238" s="164"/>
    </row>
    <row r="239" ht="13.5" customHeight="1">
      <c r="A239" s="164">
        <f t="shared" si="3"/>
        <v>237</v>
      </c>
      <c r="B239" s="171" t="s">
        <v>1024</v>
      </c>
      <c r="C239" s="164" t="str">
        <f>VLOOKUP(B239,HECVAT!A:E,2,FALSE)</f>
        <v>Is there a limit to the number of groups a user can be assigned?</v>
      </c>
      <c r="D239" s="212" t="str">
        <f>VLOOKUP(B239,HECVAT!A:E,4,FALSE)</f>
        <v/>
      </c>
      <c r="E239" s="174" t="b">
        <f>IF(Questions!$K239&gt;20,TRUE,FALSE)</f>
        <v>0</v>
      </c>
      <c r="F239" s="174" t="s">
        <v>152</v>
      </c>
      <c r="G239" s="171" t="s">
        <v>85</v>
      </c>
      <c r="H239" s="176">
        <v>1.0</v>
      </c>
      <c r="I239" s="164" t="str">
        <f>VLOOKUP(B239,HECVAT!A:E,3,FALSE)</f>
        <v/>
      </c>
      <c r="J239" s="164">
        <f>IF(Questions!$G239=Questions!$I239,1,0)</f>
        <v>0</v>
      </c>
      <c r="K239" s="164">
        <f>IF(Questions!$H239=1,20,"")</f>
        <v>20</v>
      </c>
      <c r="L239" s="164">
        <f>IF(Questions!$H239=1,J239*K239,"")</f>
        <v>0</v>
      </c>
      <c r="M239" s="180" t="str">
        <f>VLOOKUP($B239,'Standards Crosswalk'!$A:$H,3,FALSE)</f>
        <v>CSC 16</v>
      </c>
      <c r="N239" s="180" t="str">
        <f>VLOOKUP($B239,'Standards Crosswalk'!$A:$H,4,FALSE)</f>
        <v>§164.308(a)(4), 
§164.312(a)(1)</v>
      </c>
      <c r="O239" s="180" t="str">
        <f>VLOOKUP($B239,'Standards Crosswalk'!$A:$H,5,FALSE)</f>
        <v>9.2.3</v>
      </c>
      <c r="P239" s="180" t="str">
        <f>VLOOKUP($B239,'Standards Crosswalk'!$A:$H,6,FALSE)</f>
        <v>ID.GV-3</v>
      </c>
      <c r="Q239" s="180" t="str">
        <f>VLOOKUP($B239,'Standards Crosswalk'!$A:$H,7,FALSE)</f>
        <v/>
      </c>
      <c r="R239" s="180" t="str">
        <f>VLOOKUP($B239,'Standards Crosswalk'!$A:$H,8,FALSE)</f>
        <v/>
      </c>
      <c r="S239" s="180" t="str">
        <f>VLOOKUP($B239,'Standards Crosswalk'!$A:$I,9,FALSE)</f>
        <v/>
      </c>
      <c r="T239" s="164"/>
      <c r="U239" s="164"/>
      <c r="V239" s="164"/>
      <c r="W239" s="164"/>
      <c r="X239" s="164"/>
      <c r="Y239" s="164"/>
      <c r="Z239" s="164"/>
    </row>
    <row r="240" ht="13.5" customHeight="1">
      <c r="A240" s="164">
        <f t="shared" si="3"/>
        <v>238</v>
      </c>
      <c r="B240" s="171" t="s">
        <v>1027</v>
      </c>
      <c r="C240" s="164" t="str">
        <f>VLOOKUP(B240,HECVAT!A:E,2,FALSE)</f>
        <v>Do accounts used for vendor supplied remote support abide by the same authentication policies and access logging as the rest of the system?</v>
      </c>
      <c r="D240" s="212" t="str">
        <f>VLOOKUP(B240,HECVAT!A:E,4,FALSE)</f>
        <v/>
      </c>
      <c r="E240" s="174" t="b">
        <f>IF(Questions!$K240&gt;20,TRUE,FALSE)</f>
        <v>0</v>
      </c>
      <c r="F240" s="174" t="s">
        <v>152</v>
      </c>
      <c r="G240" s="171" t="s">
        <v>92</v>
      </c>
      <c r="H240" s="176">
        <v>1.0</v>
      </c>
      <c r="I240" s="164" t="str">
        <f>VLOOKUP(B240,HECVAT!A:E,3,FALSE)</f>
        <v/>
      </c>
      <c r="J240" s="164">
        <f>IF(Questions!$G240=Questions!$I240,1,0)</f>
        <v>0</v>
      </c>
      <c r="K240" s="164">
        <f>IF(Questions!$H240=1,20,"")</f>
        <v>20</v>
      </c>
      <c r="L240" s="164">
        <f>IF(Questions!$H240=1,J240*K240,"")</f>
        <v>0</v>
      </c>
      <c r="M240" s="180" t="str">
        <f>VLOOKUP($B240,'Standards Crosswalk'!$A:$H,3,FALSE)</f>
        <v>CSC 6, CSC 16</v>
      </c>
      <c r="N240" s="180" t="str">
        <f>VLOOKUP($B240,'Standards Crosswalk'!$A:$H,4,FALSE)</f>
        <v>§164.308(a)(4), 
§164.312(a)(1)</v>
      </c>
      <c r="O240" s="180" t="str">
        <f>VLOOKUP($B240,'Standards Crosswalk'!$A:$H,5,FALSE)</f>
        <v/>
      </c>
      <c r="P240" s="180" t="str">
        <f>VLOOKUP($B240,'Standards Crosswalk'!$A:$H,6,FALSE)</f>
        <v>ID.GV-3</v>
      </c>
      <c r="Q240" s="180" t="str">
        <f>VLOOKUP($B240,'Standards Crosswalk'!$A:$H,7,FALSE)</f>
        <v>3.3.1</v>
      </c>
      <c r="R240" s="180" t="str">
        <f>VLOOKUP($B240,'Standards Crosswalk'!$A:$H,8,FALSE)</f>
        <v>AU-2, AU-6, AU-12</v>
      </c>
      <c r="S240" s="180" t="str">
        <f>VLOOKUP($B240,'Standards Crosswalk'!$A:$I,9,FALSE)</f>
        <v>8.x</v>
      </c>
      <c r="T240" s="164"/>
      <c r="U240" s="164"/>
      <c r="V240" s="164"/>
      <c r="W240" s="164"/>
      <c r="X240" s="164"/>
      <c r="Y240" s="164"/>
      <c r="Z240" s="164"/>
    </row>
    <row r="241" ht="13.5" customHeight="1">
      <c r="A241" s="164">
        <f t="shared" si="3"/>
        <v>239</v>
      </c>
      <c r="B241" s="171" t="s">
        <v>1031</v>
      </c>
      <c r="C241" s="164" t="str">
        <f>VLOOKUP(B241,HECVAT!A:E,2,FALSE)</f>
        <v>Does the application log record access including specific user, date/time of access, and originating IP or device? </v>
      </c>
      <c r="D241" s="212" t="str">
        <f>VLOOKUP(B241,HECVAT!A:E,4,FALSE)</f>
        <v/>
      </c>
      <c r="E241" s="174" t="b">
        <f>IF(Questions!$K241&gt;20,TRUE,FALSE)</f>
        <v>0</v>
      </c>
      <c r="F241" s="174" t="s">
        <v>152</v>
      </c>
      <c r="G241" s="171" t="s">
        <v>92</v>
      </c>
      <c r="H241" s="176">
        <v>1.0</v>
      </c>
      <c r="I241" s="164" t="str">
        <f>VLOOKUP(B241,HECVAT!A:E,3,FALSE)</f>
        <v/>
      </c>
      <c r="J241" s="164">
        <f>IF(Questions!$G241=Questions!$I241,1,0)</f>
        <v>0</v>
      </c>
      <c r="K241" s="164">
        <f>IF(Questions!$H241=1,20,"")</f>
        <v>20</v>
      </c>
      <c r="L241" s="164">
        <f>IF(Questions!$H241=1,J241*K241,"")</f>
        <v>0</v>
      </c>
      <c r="M241" s="180" t="str">
        <f>VLOOKUP($B241,'Standards Crosswalk'!$A:$H,3,FALSE)</f>
        <v>CSC 6</v>
      </c>
      <c r="N241" s="180" t="str">
        <f>VLOOKUP($B241,'Standards Crosswalk'!$A:$H,4,FALSE)</f>
        <v>§ 164.308(a)(1)(ii)(D)</v>
      </c>
      <c r="O241" s="180" t="str">
        <f>VLOOKUP($B241,'Standards Crosswalk'!$A:$H,5,FALSE)</f>
        <v>12.4.1</v>
      </c>
      <c r="P241" s="180" t="str">
        <f>VLOOKUP($B241,'Standards Crosswalk'!$A:$H,6,FALSE)</f>
        <v>ID.GV-3</v>
      </c>
      <c r="Q241" s="180" t="str">
        <f>VLOOKUP($B241,'Standards Crosswalk'!$A:$H,7,FALSE)</f>
        <v>3.3.2</v>
      </c>
      <c r="R241" s="180" t="str">
        <f>VLOOKUP($B241,'Standards Crosswalk'!$A:$H,8,FALSE)</f>
        <v>AU-3</v>
      </c>
      <c r="S241" s="180">
        <f>VLOOKUP($B241,'Standards Crosswalk'!$A:$I,9,FALSE)</f>
        <v>10.7</v>
      </c>
      <c r="T241" s="164"/>
      <c r="U241" s="164"/>
      <c r="V241" s="164"/>
      <c r="W241" s="164"/>
      <c r="X241" s="164"/>
      <c r="Y241" s="164"/>
      <c r="Z241" s="164"/>
    </row>
    <row r="242" ht="13.5" customHeight="1">
      <c r="A242" s="164">
        <f t="shared" si="3"/>
        <v>240</v>
      </c>
      <c r="B242" s="171" t="s">
        <v>1036</v>
      </c>
      <c r="C242" s="164" t="str">
        <f>VLOOKUP(B242,HECVAT!A:E,2,FALSE)</f>
        <v>Does the application log administrative activity, such user account access changes and password changes, including specific user, date/time of changes, and originating IP or device?</v>
      </c>
      <c r="D242" s="212" t="str">
        <f>VLOOKUP(B242,HECVAT!A:E,4,FALSE)</f>
        <v/>
      </c>
      <c r="E242" s="174" t="b">
        <f>IF(Questions!$K242&gt;20,TRUE,FALSE)</f>
        <v>0</v>
      </c>
      <c r="F242" s="174" t="s">
        <v>152</v>
      </c>
      <c r="G242" s="171" t="s">
        <v>92</v>
      </c>
      <c r="H242" s="176">
        <v>1.0</v>
      </c>
      <c r="I242" s="164" t="str">
        <f>VLOOKUP(B242,HECVAT!A:E,3,FALSE)</f>
        <v/>
      </c>
      <c r="J242" s="164">
        <f>IF(Questions!$G242=Questions!$I242,1,0)</f>
        <v>0</v>
      </c>
      <c r="K242" s="164">
        <f>IF(Questions!$H242=1,20,"")</f>
        <v>20</v>
      </c>
      <c r="L242" s="164">
        <f>IF(Questions!$H242=1,J242*K242,"")</f>
        <v>0</v>
      </c>
      <c r="M242" s="180" t="str">
        <f>VLOOKUP($B242,'Standards Crosswalk'!$A:$H,3,FALSE)</f>
        <v>CSC 6</v>
      </c>
      <c r="N242" s="180" t="str">
        <f>VLOOKUP($B242,'Standards Crosswalk'!$A:$H,4,FALSE)</f>
        <v>§164.312(b)</v>
      </c>
      <c r="O242" s="180" t="str">
        <f>VLOOKUP($B242,'Standards Crosswalk'!$A:$H,5,FALSE)</f>
        <v>12.4.1</v>
      </c>
      <c r="P242" s="180" t="str">
        <f>VLOOKUP($B242,'Standards Crosswalk'!$A:$H,6,FALSE)</f>
        <v>ID.GV-3</v>
      </c>
      <c r="Q242" s="180" t="str">
        <f>VLOOKUP($B242,'Standards Crosswalk'!$A:$H,7,FALSE)</f>
        <v/>
      </c>
      <c r="R242" s="180" t="str">
        <f>VLOOKUP($B242,'Standards Crosswalk'!$A:$H,8,FALSE)</f>
        <v/>
      </c>
      <c r="S242" s="180">
        <f>VLOOKUP($B242,'Standards Crosswalk'!$A:$I,9,FALSE)</f>
        <v>10.7</v>
      </c>
      <c r="T242" s="164"/>
      <c r="U242" s="164"/>
      <c r="V242" s="164"/>
      <c r="W242" s="164"/>
      <c r="X242" s="164"/>
      <c r="Y242" s="164"/>
      <c r="Z242" s="164"/>
    </row>
    <row r="243" ht="13.5" customHeight="1">
      <c r="A243" s="164">
        <f t="shared" si="3"/>
        <v>241</v>
      </c>
      <c r="B243" s="171" t="s">
        <v>1039</v>
      </c>
      <c r="C243" s="164" t="str">
        <f>VLOOKUP(B243,HECVAT!A:E,2,FALSE)</f>
        <v>How long does the application keep access/change logs?</v>
      </c>
      <c r="D243" s="164" t="str">
        <f>VLOOKUP(B243,HECVAT!A:E,4,FALSE)</f>
        <v/>
      </c>
      <c r="E243" s="174" t="b">
        <f>IF(Questions!$K243&gt;20,TRUE,FALSE)</f>
        <v>0</v>
      </c>
      <c r="F243" s="174" t="s">
        <v>152</v>
      </c>
      <c r="G243" s="171" t="s">
        <v>92</v>
      </c>
      <c r="H243" s="176">
        <v>1.0</v>
      </c>
      <c r="I243" s="164" t="str">
        <f>VLOOKUP(B243,HECVAT!A:E,3,FALSE)</f>
        <v/>
      </c>
      <c r="J243" s="164">
        <f>IF(VLOOKUP(Questions!$B243,'Analyst Report'!$A$38:$G$85,7,FALSE)="Yes",1,0)</f>
        <v>0</v>
      </c>
      <c r="K243" s="164">
        <f>IF(Questions!$H243=1,20,"")</f>
        <v>20</v>
      </c>
      <c r="L243" s="164">
        <f>IF(Questions!$H243=1,J243*K243,"")</f>
        <v>0</v>
      </c>
      <c r="M243" s="180" t="str">
        <f>VLOOKUP($B243,'Standards Crosswalk'!$A:$H,3,FALSE)</f>
        <v>CSC 6</v>
      </c>
      <c r="N243" s="180" t="str">
        <f>VLOOKUP($B243,'Standards Crosswalk'!$A:$H,4,FALSE)</f>
        <v>§164.312(b)</v>
      </c>
      <c r="O243" s="180" t="str">
        <f>VLOOKUP($B243,'Standards Crosswalk'!$A:$H,5,FALSE)</f>
        <v>12.4.1</v>
      </c>
      <c r="P243" s="180" t="str">
        <f>VLOOKUP($B243,'Standards Crosswalk'!$A:$H,6,FALSE)</f>
        <v>ID.GV-3</v>
      </c>
      <c r="Q243" s="180" t="str">
        <f>VLOOKUP($B243,'Standards Crosswalk'!$A:$H,7,FALSE)</f>
        <v/>
      </c>
      <c r="R243" s="180" t="str">
        <f>VLOOKUP($B243,'Standards Crosswalk'!$A:$H,8,FALSE)</f>
        <v/>
      </c>
      <c r="S243" s="180">
        <f>VLOOKUP($B243,'Standards Crosswalk'!$A:$I,9,FALSE)</f>
        <v>10.7</v>
      </c>
      <c r="T243" s="164"/>
      <c r="U243" s="164"/>
      <c r="V243" s="164"/>
      <c r="W243" s="164"/>
      <c r="X243" s="164"/>
      <c r="Y243" s="164"/>
      <c r="Z243" s="164"/>
    </row>
    <row r="244" ht="13.5" customHeight="1">
      <c r="A244" s="164">
        <f t="shared" si="3"/>
        <v>242</v>
      </c>
      <c r="B244" s="171" t="s">
        <v>1041</v>
      </c>
      <c r="C244" s="164" t="str">
        <f>VLOOKUP(B244,HECVAT!A:E,2,FALSE)</f>
        <v>Can the application logs be archived? </v>
      </c>
      <c r="D244" s="212" t="str">
        <f>VLOOKUP(B244,HECVAT!A:E,4,FALSE)</f>
        <v/>
      </c>
      <c r="E244" s="174" t="b">
        <f>IF(Questions!$K244&gt;20,TRUE,FALSE)</f>
        <v>0</v>
      </c>
      <c r="F244" s="174" t="s">
        <v>152</v>
      </c>
      <c r="G244" s="171" t="s">
        <v>92</v>
      </c>
      <c r="H244" s="176">
        <v>1.0</v>
      </c>
      <c r="I244" s="164" t="str">
        <f>VLOOKUP(B244,HECVAT!A:E,3,FALSE)</f>
        <v/>
      </c>
      <c r="J244" s="164">
        <f>IF(Questions!$G244=Questions!$I244,1,0)</f>
        <v>0</v>
      </c>
      <c r="K244" s="164">
        <f>IF(Questions!$H244=1,20,"")</f>
        <v>20</v>
      </c>
      <c r="L244" s="164">
        <f>IF(Questions!$H244=1,J244*K244,"")</f>
        <v>0</v>
      </c>
      <c r="M244" s="180" t="str">
        <f>VLOOKUP($B244,'Standards Crosswalk'!$A:$H,3,FALSE)</f>
        <v>CSC 6</v>
      </c>
      <c r="N244" s="180" t="str">
        <f>VLOOKUP($B244,'Standards Crosswalk'!$A:$H,4,FALSE)</f>
        <v>§164.312(b)</v>
      </c>
      <c r="O244" s="180" t="str">
        <f>VLOOKUP($B244,'Standards Crosswalk'!$A:$H,5,FALSE)</f>
        <v>12.4.1</v>
      </c>
      <c r="P244" s="180" t="str">
        <f>VLOOKUP($B244,'Standards Crosswalk'!$A:$H,6,FALSE)</f>
        <v>ID.GV-3</v>
      </c>
      <c r="Q244" s="180" t="str">
        <f>VLOOKUP($B244,'Standards Crosswalk'!$A:$H,7,FALSE)</f>
        <v/>
      </c>
      <c r="R244" s="180" t="str">
        <f>VLOOKUP($B244,'Standards Crosswalk'!$A:$H,8,FALSE)</f>
        <v/>
      </c>
      <c r="S244" s="180">
        <f>VLOOKUP($B244,'Standards Crosswalk'!$A:$I,9,FALSE)</f>
        <v>10.7</v>
      </c>
      <c r="T244" s="164"/>
      <c r="U244" s="164"/>
      <c r="V244" s="164"/>
      <c r="W244" s="164"/>
      <c r="X244" s="164"/>
      <c r="Y244" s="164"/>
      <c r="Z244" s="164"/>
    </row>
    <row r="245" ht="13.5" customHeight="1">
      <c r="A245" s="164">
        <f t="shared" si="3"/>
        <v>243</v>
      </c>
      <c r="B245" s="171" t="s">
        <v>1044</v>
      </c>
      <c r="C245" s="164" t="str">
        <f>VLOOKUP(B245,HECVAT!A:E,2,FALSE)</f>
        <v>Can the application logs be saved externally? </v>
      </c>
      <c r="D245" s="212" t="str">
        <f>VLOOKUP(B245,HECVAT!A:E,4,FALSE)</f>
        <v/>
      </c>
      <c r="E245" s="174" t="b">
        <f>IF(Questions!$K245&gt;20,TRUE,FALSE)</f>
        <v>0</v>
      </c>
      <c r="F245" s="174" t="s">
        <v>152</v>
      </c>
      <c r="G245" s="171" t="s">
        <v>92</v>
      </c>
      <c r="H245" s="176">
        <v>1.0</v>
      </c>
      <c r="I245" s="164" t="str">
        <f>VLOOKUP(B245,HECVAT!A:E,3,FALSE)</f>
        <v/>
      </c>
      <c r="J245" s="164">
        <f>IF(Questions!$G245=Questions!$I245,1,0)</f>
        <v>0</v>
      </c>
      <c r="K245" s="164">
        <f>IF(Questions!$H245=1,20,"")</f>
        <v>20</v>
      </c>
      <c r="L245" s="164">
        <f>IF(Questions!$H245=1,J245*K245,"")</f>
        <v>0</v>
      </c>
      <c r="M245" s="180" t="str">
        <f>VLOOKUP($B245,'Standards Crosswalk'!$A:$H,3,FALSE)</f>
        <v>CSC 6</v>
      </c>
      <c r="N245" s="180" t="str">
        <f>VLOOKUP($B245,'Standards Crosswalk'!$A:$H,4,FALSE)</f>
        <v>§164.312(b)</v>
      </c>
      <c r="O245" s="180" t="str">
        <f>VLOOKUP($B245,'Standards Crosswalk'!$A:$H,5,FALSE)</f>
        <v>12.4.1</v>
      </c>
      <c r="P245" s="180" t="str">
        <f>VLOOKUP($B245,'Standards Crosswalk'!$A:$H,6,FALSE)</f>
        <v>ID.GV-3</v>
      </c>
      <c r="Q245" s="180" t="str">
        <f>VLOOKUP($B245,'Standards Crosswalk'!$A:$H,7,FALSE)</f>
        <v/>
      </c>
      <c r="R245" s="180" t="str">
        <f>VLOOKUP($B245,'Standards Crosswalk'!$A:$H,8,FALSE)</f>
        <v/>
      </c>
      <c r="S245" s="180">
        <f>VLOOKUP($B245,'Standards Crosswalk'!$A:$I,9,FALSE)</f>
        <v>10.7</v>
      </c>
      <c r="T245" s="164"/>
      <c r="U245" s="164"/>
      <c r="V245" s="164"/>
      <c r="W245" s="164"/>
      <c r="X245" s="164"/>
      <c r="Y245" s="164"/>
      <c r="Z245" s="164"/>
    </row>
    <row r="246" ht="13.5" customHeight="1">
      <c r="A246" s="164">
        <f t="shared" si="3"/>
        <v>244</v>
      </c>
      <c r="B246" s="171" t="s">
        <v>1047</v>
      </c>
      <c r="C246" s="164" t="str">
        <f>VLOOKUP(B246,HECVAT!A:E,2,FALSE)</f>
        <v>Does your data backup and retention policies and practices meet HIPAA requirements?</v>
      </c>
      <c r="D246" s="212" t="str">
        <f>VLOOKUP(B246,HECVAT!A:E,4,FALSE)</f>
        <v/>
      </c>
      <c r="E246" s="174" t="b">
        <f>IF(Questions!$K246&gt;20,TRUE,FALSE)</f>
        <v>0</v>
      </c>
      <c r="F246" s="174" t="s">
        <v>152</v>
      </c>
      <c r="G246" s="171" t="s">
        <v>92</v>
      </c>
      <c r="H246" s="176">
        <v>1.0</v>
      </c>
      <c r="I246" s="164" t="str">
        <f>VLOOKUP(B246,HECVAT!A:E,3,FALSE)</f>
        <v/>
      </c>
      <c r="J246" s="164">
        <f>IF(Questions!$G246=Questions!$I246,1,0)</f>
        <v>0</v>
      </c>
      <c r="K246" s="164">
        <f>IF(Questions!$H246=1,20,"")</f>
        <v>20</v>
      </c>
      <c r="L246" s="164">
        <f>IF(Questions!$H246=1,J246*K246,"")</f>
        <v>0</v>
      </c>
      <c r="M246" s="180" t="str">
        <f>VLOOKUP($B246,'Standards Crosswalk'!$A:$H,3,FALSE)</f>
        <v>CSC 10</v>
      </c>
      <c r="N246" s="180" t="str">
        <f>VLOOKUP($B246,'Standards Crosswalk'!$A:$H,4,FALSE)</f>
        <v>§164.312(a)(2)(ii)</v>
      </c>
      <c r="O246" s="180" t="str">
        <f>VLOOKUP($B246,'Standards Crosswalk'!$A:$H,5,FALSE)</f>
        <v>18.1.1</v>
      </c>
      <c r="P246" s="180" t="str">
        <f>VLOOKUP($B246,'Standards Crosswalk'!$A:$H,6,FALSE)</f>
        <v>ID.GV-3</v>
      </c>
      <c r="Q246" s="180" t="str">
        <f>VLOOKUP($B246,'Standards Crosswalk'!$A:$H,7,FALSE)</f>
        <v/>
      </c>
      <c r="R246" s="180" t="str">
        <f>VLOOKUP($B246,'Standards Crosswalk'!$A:$H,8,FALSE)</f>
        <v/>
      </c>
      <c r="S246" s="180">
        <f>VLOOKUP($B246,'Standards Crosswalk'!$A:$I,9,FALSE)</f>
        <v>10.7</v>
      </c>
      <c r="T246" s="164"/>
      <c r="U246" s="164"/>
      <c r="V246" s="164"/>
      <c r="W246" s="164"/>
      <c r="X246" s="164"/>
      <c r="Y246" s="164"/>
      <c r="Z246" s="164"/>
    </row>
    <row r="247" ht="13.5" customHeight="1">
      <c r="A247" s="164">
        <f t="shared" si="3"/>
        <v>245</v>
      </c>
      <c r="B247" s="171" t="s">
        <v>1050</v>
      </c>
      <c r="C247" s="164" t="str">
        <f>VLOOKUP(B247,HECVAT!A:E,2,FALSE)</f>
        <v>Do you have a disaster recovery plan and emergency mode operation plan?</v>
      </c>
      <c r="D247" s="212" t="str">
        <f>VLOOKUP(B247,HECVAT!A:E,4,FALSE)</f>
        <v/>
      </c>
      <c r="E247" s="174" t="b">
        <f>IF(Questions!$K247&gt;20,TRUE,FALSE)</f>
        <v>0</v>
      </c>
      <c r="F247" s="174" t="s">
        <v>152</v>
      </c>
      <c r="G247" s="171" t="s">
        <v>92</v>
      </c>
      <c r="H247" s="176">
        <v>1.0</v>
      </c>
      <c r="I247" s="164" t="str">
        <f>VLOOKUP(B247,HECVAT!A:E,3,FALSE)</f>
        <v/>
      </c>
      <c r="J247" s="164">
        <f>IF(Questions!$G247=Questions!$I247,1,0)</f>
        <v>0</v>
      </c>
      <c r="K247" s="164">
        <f>IF(Questions!$H247=1,20,"")</f>
        <v>20</v>
      </c>
      <c r="L247" s="164">
        <f>IF(Questions!$H247=1,J247*K247,"")</f>
        <v>0</v>
      </c>
      <c r="M247" s="180" t="str">
        <f>VLOOKUP($B247,'Standards Crosswalk'!$A:$H,3,FALSE)</f>
        <v>CSC 10</v>
      </c>
      <c r="N247" s="180" t="str">
        <f>VLOOKUP($B247,'Standards Crosswalk'!$A:$H,4,FALSE)</f>
        <v>§164.308(a)(7)(i)</v>
      </c>
      <c r="O247" s="180" t="str">
        <f>VLOOKUP($B247,'Standards Crosswalk'!$A:$H,5,FALSE)</f>
        <v>17.1.1</v>
      </c>
      <c r="P247" s="180" t="str">
        <f>VLOOKUP($B247,'Standards Crosswalk'!$A:$H,6,FALSE)</f>
        <v>ID.GV-3</v>
      </c>
      <c r="Q247" s="180" t="str">
        <f>VLOOKUP($B247,'Standards Crosswalk'!$A:$H,7,FALSE)</f>
        <v>3.12.2</v>
      </c>
      <c r="R247" s="180" t="str">
        <f>VLOOKUP($B247,'Standards Crosswalk'!$A:$H,8,FALSE)</f>
        <v/>
      </c>
      <c r="S247" s="180">
        <f>VLOOKUP($B247,'Standards Crosswalk'!$A:$I,9,FALSE)</f>
        <v>12.1</v>
      </c>
      <c r="T247" s="164"/>
      <c r="U247" s="164"/>
      <c r="V247" s="164"/>
      <c r="W247" s="164"/>
      <c r="X247" s="164"/>
      <c r="Y247" s="164"/>
      <c r="Z247" s="164"/>
    </row>
    <row r="248" ht="13.5" customHeight="1">
      <c r="A248" s="164">
        <f t="shared" si="3"/>
        <v>246</v>
      </c>
      <c r="B248" s="171" t="s">
        <v>1053</v>
      </c>
      <c r="C248" s="164" t="str">
        <f>VLOOKUP(B248,HECVAT!A:E,2,FALSE)</f>
        <v>Have the policies/plans mentioned above been tested?</v>
      </c>
      <c r="D248" s="212" t="str">
        <f>VLOOKUP(B248,HECVAT!A:E,4,FALSE)</f>
        <v/>
      </c>
      <c r="E248" s="174" t="b">
        <f>IF(Questions!$K248&gt;20,TRUE,FALSE)</f>
        <v>0</v>
      </c>
      <c r="F248" s="174" t="s">
        <v>152</v>
      </c>
      <c r="G248" s="171" t="s">
        <v>92</v>
      </c>
      <c r="H248" s="176">
        <v>1.0</v>
      </c>
      <c r="I248" s="164" t="str">
        <f>VLOOKUP(B248,HECVAT!A:E,3,FALSE)</f>
        <v/>
      </c>
      <c r="J248" s="164">
        <f>IF(Questions!$G248=Questions!$I248,1,0)</f>
        <v>0</v>
      </c>
      <c r="K248" s="164">
        <f>IF(Questions!$H248=1,20,"")</f>
        <v>20</v>
      </c>
      <c r="L248" s="164">
        <f>IF(Questions!$H248=1,J248*K248,"")</f>
        <v>0</v>
      </c>
      <c r="M248" s="180" t="str">
        <f>VLOOKUP($B248,'Standards Crosswalk'!$A:$H,3,FALSE)</f>
        <v>CSC 10</v>
      </c>
      <c r="N248" s="180" t="str">
        <f>VLOOKUP($B248,'Standards Crosswalk'!$A:$H,4,FALSE)</f>
        <v>§164.308(a)(7)(i)</v>
      </c>
      <c r="O248" s="180" t="str">
        <f>VLOOKUP($B248,'Standards Crosswalk'!$A:$H,5,FALSE)</f>
        <v>17.1.3</v>
      </c>
      <c r="P248" s="180" t="str">
        <f>VLOOKUP($B248,'Standards Crosswalk'!$A:$H,6,FALSE)</f>
        <v>ID.GV-3</v>
      </c>
      <c r="Q248" s="180" t="str">
        <f>VLOOKUP($B248,'Standards Crosswalk'!$A:$H,7,FALSE)</f>
        <v>3.6.3, 3.12.2</v>
      </c>
      <c r="R248" s="180" t="str">
        <f>VLOOKUP($B248,'Standards Crosswalk'!$A:$H,8,FALSE)</f>
        <v/>
      </c>
      <c r="S248" s="180">
        <f>VLOOKUP($B248,'Standards Crosswalk'!$A:$I,9,FALSE)</f>
        <v>12.1</v>
      </c>
      <c r="T248" s="164"/>
      <c r="U248" s="164"/>
      <c r="V248" s="164"/>
      <c r="W248" s="164"/>
      <c r="X248" s="164"/>
      <c r="Y248" s="164"/>
      <c r="Z248" s="164"/>
    </row>
    <row r="249" ht="13.5" customHeight="1">
      <c r="A249" s="164">
        <f t="shared" si="3"/>
        <v>247</v>
      </c>
      <c r="B249" s="171" t="s">
        <v>1056</v>
      </c>
      <c r="C249" s="164" t="str">
        <f>VLOOKUP(B249,HECVAT!A:E,2,FALSE)</f>
        <v>Can you provide a HIPAA compliance attestation document?</v>
      </c>
      <c r="D249" s="212" t="str">
        <f>VLOOKUP(B249,HECVAT!A:E,4,FALSE)</f>
        <v/>
      </c>
      <c r="E249" s="174" t="b">
        <f>IF(Questions!$K249&gt;20,TRUE,FALSE)</f>
        <v>0</v>
      </c>
      <c r="F249" s="174" t="s">
        <v>152</v>
      </c>
      <c r="G249" s="171" t="s">
        <v>92</v>
      </c>
      <c r="H249" s="176">
        <v>1.0</v>
      </c>
      <c r="I249" s="164" t="str">
        <f>VLOOKUP(B249,HECVAT!A:E,3,FALSE)</f>
        <v/>
      </c>
      <c r="J249" s="164">
        <f>IF(Questions!$G249=Questions!$I249,1,0)</f>
        <v>0</v>
      </c>
      <c r="K249" s="164">
        <f>IF(Questions!$H249=1,20,"")</f>
        <v>20</v>
      </c>
      <c r="L249" s="164">
        <f>IF(Questions!$H249=1,J249*K249,"")</f>
        <v>0</v>
      </c>
      <c r="M249" s="180" t="str">
        <f>VLOOKUP($B249,'Standards Crosswalk'!$A:$H,3,FALSE)</f>
        <v>CSC 10</v>
      </c>
      <c r="N249" s="180" t="str">
        <f>VLOOKUP($B249,'Standards Crosswalk'!$A:$H,4,FALSE)</f>
        <v>§164.308(b)(2)</v>
      </c>
      <c r="O249" s="180" t="str">
        <f>VLOOKUP($B249,'Standards Crosswalk'!$A:$H,5,FALSE)</f>
        <v>18.1.1</v>
      </c>
      <c r="P249" s="180" t="str">
        <f>VLOOKUP($B249,'Standards Crosswalk'!$A:$H,6,FALSE)</f>
        <v>ID.GV-3</v>
      </c>
      <c r="Q249" s="180" t="str">
        <f>VLOOKUP($B249,'Standards Crosswalk'!$A:$H,7,FALSE)</f>
        <v/>
      </c>
      <c r="R249" s="180" t="str">
        <f>VLOOKUP($B249,'Standards Crosswalk'!$A:$H,8,FALSE)</f>
        <v/>
      </c>
      <c r="S249" s="180">
        <f>VLOOKUP($B249,'Standards Crosswalk'!$A:$I,9,FALSE)</f>
        <v>10.7</v>
      </c>
      <c r="T249" s="164"/>
      <c r="U249" s="164"/>
      <c r="V249" s="164"/>
      <c r="W249" s="164"/>
      <c r="X249" s="164"/>
      <c r="Y249" s="164"/>
      <c r="Z249" s="164"/>
    </row>
    <row r="250" ht="13.5" customHeight="1">
      <c r="A250" s="164">
        <f t="shared" si="3"/>
        <v>248</v>
      </c>
      <c r="B250" s="171" t="s">
        <v>1059</v>
      </c>
      <c r="C250" s="164" t="str">
        <f>VLOOKUP(B250,HECVAT!A:E,2,FALSE)</f>
        <v>Are you willing to enter into a Business Associate Agreement (BAA)?</v>
      </c>
      <c r="D250" s="212" t="str">
        <f>VLOOKUP(B250,HECVAT!A:E,4,FALSE)</f>
        <v/>
      </c>
      <c r="E250" s="174" t="b">
        <f>IF(Questions!$K250&gt;20,TRUE,FALSE)</f>
        <v>0</v>
      </c>
      <c r="F250" s="174" t="s">
        <v>152</v>
      </c>
      <c r="G250" s="171" t="s">
        <v>92</v>
      </c>
      <c r="H250" s="176">
        <v>1.0</v>
      </c>
      <c r="I250" s="164" t="str">
        <f>VLOOKUP(B250,HECVAT!A:E,3,FALSE)</f>
        <v/>
      </c>
      <c r="J250" s="164">
        <f>IF(Questions!$G250=Questions!$I250,1,0)</f>
        <v>0</v>
      </c>
      <c r="K250" s="164">
        <f>IF(Questions!$H250=1,20,"")</f>
        <v>20</v>
      </c>
      <c r="L250" s="164">
        <f>IF(Questions!$H250=1,J250*K250,"")</f>
        <v>0</v>
      </c>
      <c r="M250" s="180" t="str">
        <f>VLOOKUP($B250,'Standards Crosswalk'!$A:$H,3,FALSE)</f>
        <v>CSC 10</v>
      </c>
      <c r="N250" s="180" t="str">
        <f>VLOOKUP($B250,'Standards Crosswalk'!$A:$H,4,FALSE)</f>
        <v>§164.308(b)(1),
§164.308(b)(3), §164.314(a)(1)(i)</v>
      </c>
      <c r="O250" s="180" t="str">
        <f>VLOOKUP($B250,'Standards Crosswalk'!$A:$H,5,FALSE)</f>
        <v>18.1.1</v>
      </c>
      <c r="P250" s="180" t="str">
        <f>VLOOKUP($B250,'Standards Crosswalk'!$A:$H,6,FALSE)</f>
        <v>ID.GV-3</v>
      </c>
      <c r="Q250" s="180" t="str">
        <f>VLOOKUP($B250,'Standards Crosswalk'!$A:$H,7,FALSE)</f>
        <v/>
      </c>
      <c r="R250" s="180" t="str">
        <f>VLOOKUP($B250,'Standards Crosswalk'!$A:$H,8,FALSE)</f>
        <v/>
      </c>
      <c r="S250" s="180" t="str">
        <f>VLOOKUP($B250,'Standards Crosswalk'!$A:$I,9,FALSE)</f>
        <v/>
      </c>
      <c r="T250" s="164"/>
      <c r="U250" s="164"/>
      <c r="V250" s="164"/>
      <c r="W250" s="164"/>
      <c r="X250" s="164"/>
      <c r="Y250" s="164"/>
      <c r="Z250" s="164"/>
    </row>
    <row r="251" ht="13.5" customHeight="1">
      <c r="A251" s="164">
        <f t="shared" si="3"/>
        <v>249</v>
      </c>
      <c r="B251" s="171" t="s">
        <v>1062</v>
      </c>
      <c r="C251" s="164" t="str">
        <f>VLOOKUP(B251,HECVAT!A:E,2,FALSE)</f>
        <v>Have you entered into a BAA with all subcontractors who may have access to protected health information (PHI)?</v>
      </c>
      <c r="D251" s="212" t="str">
        <f>VLOOKUP(B251,HECVAT!A:E,4,FALSE)</f>
        <v/>
      </c>
      <c r="E251" s="174" t="b">
        <f>IF(Questions!$K251&gt;20,TRUE,FALSE)</f>
        <v>0</v>
      </c>
      <c r="F251" s="174" t="s">
        <v>152</v>
      </c>
      <c r="G251" s="171" t="s">
        <v>92</v>
      </c>
      <c r="H251" s="176">
        <v>1.0</v>
      </c>
      <c r="I251" s="164" t="str">
        <f>VLOOKUP(B251,HECVAT!A:E,3,FALSE)</f>
        <v/>
      </c>
      <c r="J251" s="164">
        <f>IF(Questions!$G251=Questions!$I251,1,0)</f>
        <v>0</v>
      </c>
      <c r="K251" s="164">
        <f>IF(Questions!$H251=1,20,"")</f>
        <v>20</v>
      </c>
      <c r="L251" s="164">
        <f>IF(Questions!$H251=1,J251*K251,"")</f>
        <v>0</v>
      </c>
      <c r="M251" s="180" t="str">
        <f>VLOOKUP($B251,'Standards Crosswalk'!$A:$H,3,FALSE)</f>
        <v>CSC 10</v>
      </c>
      <c r="N251" s="180" t="str">
        <f>VLOOKUP($B251,'Standards Crosswalk'!$A:$H,4,FALSE)</f>
        <v>§164.308(a)(3)(i), §164.308(b)(1), 
§164.308(b)(3), §164.314(a)(1)(i)</v>
      </c>
      <c r="O251" s="180" t="str">
        <f>VLOOKUP($B251,'Standards Crosswalk'!$A:$H,5,FALSE)</f>
        <v>18.1.1</v>
      </c>
      <c r="P251" s="180" t="str">
        <f>VLOOKUP($B251,'Standards Crosswalk'!$A:$H,6,FALSE)</f>
        <v>ID.GV-3</v>
      </c>
      <c r="Q251" s="180" t="str">
        <f>VLOOKUP($B251,'Standards Crosswalk'!$A:$H,7,FALSE)</f>
        <v/>
      </c>
      <c r="R251" s="180" t="str">
        <f>VLOOKUP($B251,'Standards Crosswalk'!$A:$H,8,FALSE)</f>
        <v/>
      </c>
      <c r="S251" s="180">
        <f>VLOOKUP($B251,'Standards Crosswalk'!$A:$I,9,FALSE)</f>
        <v>12.8</v>
      </c>
      <c r="T251" s="164"/>
      <c r="U251" s="164"/>
      <c r="V251" s="164"/>
      <c r="W251" s="164"/>
      <c r="X251" s="164"/>
      <c r="Y251" s="164"/>
      <c r="Z251" s="164"/>
    </row>
    <row r="252" ht="13.5" customHeight="1">
      <c r="A252" s="164">
        <f t="shared" si="3"/>
        <v>250</v>
      </c>
      <c r="B252" s="171" t="s">
        <v>2838</v>
      </c>
      <c r="C252" s="164" t="str">
        <f>VLOOKUP(B252,HECVAT!A:E,2,FALSE)</f>
        <v>#N/A</v>
      </c>
      <c r="D252" s="164" t="str">
        <f>VLOOKUP(B252,HECVAT!A:E,4,FALSE)</f>
        <v>#N/A</v>
      </c>
      <c r="E252" s="174" t="b">
        <f>IF(Questions!$K252&gt;20,TRUE,FALSE)</f>
        <v>0</v>
      </c>
      <c r="F252" s="174" t="s">
        <v>152</v>
      </c>
      <c r="G252" s="171" t="s">
        <v>92</v>
      </c>
      <c r="H252" s="176">
        <v>1.0</v>
      </c>
      <c r="I252" s="164" t="str">
        <f>VLOOKUP(B252,HECVAT!A:E,3,FALSE)</f>
        <v>#N/A</v>
      </c>
      <c r="J252" s="164" t="str">
        <f>IF(Questions!$G252=Questions!$I252,1,0)</f>
        <v>#N/A</v>
      </c>
      <c r="K252" s="164">
        <f>IF(Questions!$H252=1,20,"")</f>
        <v>20</v>
      </c>
      <c r="L252" s="164" t="str">
        <f>IF(Questions!$H252=1,J252*K252,"")</f>
        <v>#N/A</v>
      </c>
      <c r="M252" s="180" t="str">
        <f>VLOOKUP($B252,'Standards Crosswalk'!$A:$H,3,FALSE)</f>
        <v>#N/A</v>
      </c>
      <c r="N252" s="180" t="str">
        <f>VLOOKUP($B252,'Standards Crosswalk'!$A:$H,4,FALSE)</f>
        <v>#N/A</v>
      </c>
      <c r="O252" s="180" t="str">
        <f>VLOOKUP($B252,'Standards Crosswalk'!$A:$H,5,FALSE)</f>
        <v>#N/A</v>
      </c>
      <c r="P252" s="180" t="str">
        <f>VLOOKUP($B252,'Standards Crosswalk'!$A:$H,6,FALSE)</f>
        <v>#N/A</v>
      </c>
      <c r="Q252" s="180" t="str">
        <f>VLOOKUP($B252,'Standards Crosswalk'!$A:$H,7,FALSE)</f>
        <v>#N/A</v>
      </c>
      <c r="R252" s="180" t="str">
        <f>VLOOKUP($B252,'Standards Crosswalk'!$A:$H,8,FALSE)</f>
        <v>#N/A</v>
      </c>
      <c r="S252" s="180" t="str">
        <f>VLOOKUP($B252,'Standards Crosswalk'!$A:$I,9,FALSE)</f>
        <v>#N/A</v>
      </c>
      <c r="T252" s="164"/>
      <c r="U252" s="164"/>
      <c r="V252" s="164"/>
      <c r="W252" s="164"/>
      <c r="X252" s="164"/>
      <c r="Y252" s="164"/>
      <c r="Z252" s="164"/>
    </row>
    <row r="253" ht="13.5" customHeight="1">
      <c r="A253" s="164">
        <f t="shared" si="3"/>
        <v>251</v>
      </c>
      <c r="B253" s="171" t="s">
        <v>1067</v>
      </c>
      <c r="C253" s="164" t="str">
        <f>VLOOKUP(B253,HECVAT!A:E,2,FALSE)</f>
        <v>Do your systems or products store, process, or transmit cardholder (payment/credit/debt card) data?</v>
      </c>
      <c r="D253" s="212" t="str">
        <f>VLOOKUP(B253,HECVAT!A:E,4,FALSE)</f>
        <v/>
      </c>
      <c r="E253" s="174" t="b">
        <f>IF(Questions!$K253&gt;20,TRUE,FALSE)</f>
        <v>0</v>
      </c>
      <c r="F253" s="204" t="s">
        <v>157</v>
      </c>
      <c r="G253" s="171" t="s">
        <v>85</v>
      </c>
      <c r="H253" s="176">
        <v>1.0</v>
      </c>
      <c r="I253" s="164" t="str">
        <f>VLOOKUP(B253,HECVAT!A:E,3,FALSE)</f>
        <v/>
      </c>
      <c r="J253" s="164">
        <f>IF(Questions!$G253=Questions!$I253,1,0)</f>
        <v>0</v>
      </c>
      <c r="K253" s="164">
        <f>IF(Questions!$H253=1,15,"")</f>
        <v>15</v>
      </c>
      <c r="L253" s="164">
        <f>IF(Questions!$H253=1,J253*K253,"")</f>
        <v>0</v>
      </c>
      <c r="M253" s="180" t="str">
        <f>VLOOKUP($B253,'Standards Crosswalk'!$A:$H,3,FALSE)</f>
        <v>CSC 10</v>
      </c>
      <c r="N253" s="180" t="str">
        <f>VLOOKUP($B253,'Standards Crosswalk'!$A:$H,4,FALSE)</f>
        <v/>
      </c>
      <c r="O253" s="180" t="str">
        <f>VLOOKUP($B253,'Standards Crosswalk'!$A:$H,5,FALSE)</f>
        <v>18.1.1</v>
      </c>
      <c r="P253" s="180" t="str">
        <f>VLOOKUP($B253,'Standards Crosswalk'!$A:$H,6,FALSE)</f>
        <v>ID.GV-3</v>
      </c>
      <c r="Q253" s="180" t="str">
        <f>VLOOKUP($B253,'Standards Crosswalk'!$A:$H,7,FALSE)</f>
        <v/>
      </c>
      <c r="R253" s="180" t="str">
        <f>VLOOKUP($B253,'Standards Crosswalk'!$A:$H,8,FALSE)</f>
        <v/>
      </c>
      <c r="S253" s="180">
        <f>VLOOKUP($B253,'Standards Crosswalk'!$A:$I,9,FALSE)</f>
        <v>12.8</v>
      </c>
      <c r="T253" s="164"/>
      <c r="U253" s="164"/>
      <c r="V253" s="164"/>
      <c r="W253" s="164"/>
      <c r="X253" s="164"/>
      <c r="Y253" s="164"/>
      <c r="Z253" s="164"/>
    </row>
    <row r="254" ht="13.5" customHeight="1">
      <c r="A254" s="164">
        <f t="shared" si="3"/>
        <v>252</v>
      </c>
      <c r="B254" s="171" t="s">
        <v>1070</v>
      </c>
      <c r="C254" s="164" t="str">
        <f>VLOOKUP(B254,HECVAT!A:E,2,FALSE)</f>
        <v>Are you compliant with the Payment Card Industry Data Security Standard (PCI DSS)?</v>
      </c>
      <c r="D254" s="212" t="str">
        <f>VLOOKUP(B254,HECVAT!A:E,4,FALSE)</f>
        <v/>
      </c>
      <c r="E254" s="174" t="b">
        <f>IF(Questions!$K254&gt;20,TRUE,FALSE)</f>
        <v>0</v>
      </c>
      <c r="F254" s="204" t="s">
        <v>157</v>
      </c>
      <c r="G254" s="171" t="s">
        <v>92</v>
      </c>
      <c r="H254" s="176">
        <v>1.0</v>
      </c>
      <c r="I254" s="164" t="str">
        <f>VLOOKUP(B254,HECVAT!A:E,3,FALSE)</f>
        <v/>
      </c>
      <c r="J254" s="164">
        <f>IF(Questions!$G254=Questions!$I254,1,0)</f>
        <v>0</v>
      </c>
      <c r="K254" s="164">
        <f>IF(Questions!$H254=1,20,"")</f>
        <v>20</v>
      </c>
      <c r="L254" s="164">
        <f>IF(Questions!$H254=1,J254*K254,"")</f>
        <v>0</v>
      </c>
      <c r="M254" s="180" t="str">
        <f>VLOOKUP($B254,'Standards Crosswalk'!$A:$H,3,FALSE)</f>
        <v>CSC 10</v>
      </c>
      <c r="N254" s="180" t="str">
        <f>VLOOKUP($B254,'Standards Crosswalk'!$A:$H,4,FALSE)</f>
        <v/>
      </c>
      <c r="O254" s="180" t="str">
        <f>VLOOKUP($B254,'Standards Crosswalk'!$A:$H,5,FALSE)</f>
        <v>18.1.1</v>
      </c>
      <c r="P254" s="180" t="str">
        <f>VLOOKUP($B254,'Standards Crosswalk'!$A:$H,6,FALSE)</f>
        <v>ID.GV-3</v>
      </c>
      <c r="Q254" s="180" t="str">
        <f>VLOOKUP($B254,'Standards Crosswalk'!$A:$H,7,FALSE)</f>
        <v/>
      </c>
      <c r="R254" s="180" t="str">
        <f>VLOOKUP($B254,'Standards Crosswalk'!$A:$H,8,FALSE)</f>
        <v/>
      </c>
      <c r="S254" s="180">
        <f>VLOOKUP($B254,'Standards Crosswalk'!$A:$I,9,FALSE)</f>
        <v>12.8</v>
      </c>
      <c r="T254" s="164"/>
      <c r="U254" s="164"/>
      <c r="V254" s="164"/>
      <c r="W254" s="164"/>
      <c r="X254" s="164"/>
      <c r="Y254" s="164"/>
      <c r="Z254" s="164"/>
    </row>
    <row r="255" ht="13.5" customHeight="1">
      <c r="A255" s="164">
        <f t="shared" si="3"/>
        <v>253</v>
      </c>
      <c r="B255" s="171" t="s">
        <v>1074</v>
      </c>
      <c r="C255" s="164" t="str">
        <f>VLOOKUP(B255,HECVAT!A:E,2,FALSE)</f>
        <v>Do you have a current, executed within the past year, Attestation of Compliance (AoC) or Report on Compliance (RoC)?</v>
      </c>
      <c r="D255" s="212" t="str">
        <f>VLOOKUP(B255,HECVAT!A:E,4,FALSE)</f>
        <v/>
      </c>
      <c r="E255" s="174" t="b">
        <f>IF(Questions!$K255&gt;20,TRUE,FALSE)</f>
        <v>1</v>
      </c>
      <c r="F255" s="204" t="s">
        <v>157</v>
      </c>
      <c r="G255" s="171" t="s">
        <v>92</v>
      </c>
      <c r="H255" s="176">
        <v>1.0</v>
      </c>
      <c r="I255" s="164" t="str">
        <f>VLOOKUP(B255,HECVAT!A:E,3,FALSE)</f>
        <v/>
      </c>
      <c r="J255" s="164">
        <f>IF(Questions!$G255=Questions!$I255,1,0)</f>
        <v>0</v>
      </c>
      <c r="K255" s="164">
        <f>IF(Questions!$H255=1,25,"")</f>
        <v>25</v>
      </c>
      <c r="L255" s="164">
        <f>IF(Questions!$H255=1,J255*K255,"")</f>
        <v>0</v>
      </c>
      <c r="M255" s="180" t="str">
        <f>VLOOKUP($B255,'Standards Crosswalk'!$A:$H,3,FALSE)</f>
        <v>CSC 10</v>
      </c>
      <c r="N255" s="180" t="str">
        <f>VLOOKUP($B255,'Standards Crosswalk'!$A:$H,4,FALSE)</f>
        <v/>
      </c>
      <c r="O255" s="180" t="str">
        <f>VLOOKUP($B255,'Standards Crosswalk'!$A:$H,5,FALSE)</f>
        <v>18.1.1</v>
      </c>
      <c r="P255" s="180" t="str">
        <f>VLOOKUP($B255,'Standards Crosswalk'!$A:$H,6,FALSE)</f>
        <v>ID.GV-3</v>
      </c>
      <c r="Q255" s="180" t="str">
        <f>VLOOKUP($B255,'Standards Crosswalk'!$A:$H,7,FALSE)</f>
        <v/>
      </c>
      <c r="R255" s="180" t="str">
        <f>VLOOKUP($B255,'Standards Crosswalk'!$A:$H,8,FALSE)</f>
        <v/>
      </c>
      <c r="S255" s="180">
        <f>VLOOKUP($B255,'Standards Crosswalk'!$A:$I,9,FALSE)</f>
        <v>12.8</v>
      </c>
      <c r="T255" s="164"/>
      <c r="U255" s="164"/>
      <c r="V255" s="164"/>
      <c r="W255" s="164"/>
      <c r="X255" s="164"/>
      <c r="Y255" s="164"/>
      <c r="Z255" s="164"/>
    </row>
    <row r="256" ht="13.5" customHeight="1">
      <c r="A256" s="164">
        <f t="shared" si="3"/>
        <v>254</v>
      </c>
      <c r="B256" s="171" t="s">
        <v>1076</v>
      </c>
      <c r="C256" s="164" t="str">
        <f>VLOOKUP(B256,HECVAT!A:E,2,FALSE)</f>
        <v>Are you classified as a service provider?</v>
      </c>
      <c r="D256" s="212" t="str">
        <f>VLOOKUP(B256,HECVAT!A:E,4,FALSE)</f>
        <v/>
      </c>
      <c r="E256" s="174" t="b">
        <f>IF(Questions!$K256&gt;20,TRUE,FALSE)</f>
        <v>0</v>
      </c>
      <c r="F256" s="204" t="s">
        <v>157</v>
      </c>
      <c r="G256" s="171" t="s">
        <v>92</v>
      </c>
      <c r="H256" s="176">
        <v>1.0</v>
      </c>
      <c r="I256" s="164" t="str">
        <f>VLOOKUP(B256,HECVAT!A:E,3,FALSE)</f>
        <v/>
      </c>
      <c r="J256" s="164">
        <f>IF(Questions!$G256=Questions!$I256,1,0)</f>
        <v>0</v>
      </c>
      <c r="K256" s="164">
        <f>IF(Questions!$H256=1,20,"")</f>
        <v>20</v>
      </c>
      <c r="L256" s="164">
        <f>IF(Questions!$H256=1,J256*K256,"")</f>
        <v>0</v>
      </c>
      <c r="M256" s="180" t="str">
        <f>VLOOKUP($B256,'Standards Crosswalk'!$A:$H,3,FALSE)</f>
        <v/>
      </c>
      <c r="N256" s="180" t="str">
        <f>VLOOKUP($B256,'Standards Crosswalk'!$A:$H,4,FALSE)</f>
        <v/>
      </c>
      <c r="O256" s="180" t="str">
        <f>VLOOKUP($B256,'Standards Crosswalk'!$A:$H,5,FALSE)</f>
        <v/>
      </c>
      <c r="P256" s="180" t="str">
        <f>VLOOKUP($B256,'Standards Crosswalk'!$A:$H,6,FALSE)</f>
        <v>ID.GV-3</v>
      </c>
      <c r="Q256" s="180" t="str">
        <f>VLOOKUP($B256,'Standards Crosswalk'!$A:$H,7,FALSE)</f>
        <v/>
      </c>
      <c r="R256" s="180" t="str">
        <f>VLOOKUP($B256,'Standards Crosswalk'!$A:$H,8,FALSE)</f>
        <v/>
      </c>
      <c r="S256" s="180">
        <f>VLOOKUP($B256,'Standards Crosswalk'!$A:$I,9,FALSE)</f>
        <v>12.8</v>
      </c>
      <c r="T256" s="164"/>
      <c r="U256" s="164"/>
      <c r="V256" s="164"/>
      <c r="W256" s="164"/>
      <c r="X256" s="164"/>
      <c r="Y256" s="164"/>
      <c r="Z256" s="164"/>
    </row>
    <row r="257" ht="13.5" customHeight="1">
      <c r="A257" s="164">
        <f t="shared" si="3"/>
        <v>255</v>
      </c>
      <c r="B257" s="171" t="s">
        <v>1078</v>
      </c>
      <c r="C257" s="164" t="str">
        <f>VLOOKUP(B257,HECVAT!A:E,2,FALSE)</f>
        <v>Are you on the list of VISA approved service providers? </v>
      </c>
      <c r="D257" s="212" t="str">
        <f>VLOOKUP(B257,HECVAT!A:E,4,FALSE)</f>
        <v/>
      </c>
      <c r="E257" s="174" t="b">
        <f>IF(Questions!$K257&gt;20,TRUE,FALSE)</f>
        <v>0</v>
      </c>
      <c r="F257" s="204" t="s">
        <v>157</v>
      </c>
      <c r="G257" s="171" t="s">
        <v>92</v>
      </c>
      <c r="H257" s="176">
        <v>1.0</v>
      </c>
      <c r="I257" s="164" t="str">
        <f>VLOOKUP(B257,HECVAT!A:E,3,FALSE)</f>
        <v/>
      </c>
      <c r="J257" s="164">
        <f>IF(Questions!$G257=Questions!$I257,1,0)</f>
        <v>0</v>
      </c>
      <c r="K257" s="164">
        <f>IF(Questions!$H257=1,20,"")</f>
        <v>20</v>
      </c>
      <c r="L257" s="164">
        <f>IF(Questions!$H257=1,J257*K257,"")</f>
        <v>0</v>
      </c>
      <c r="M257" s="180" t="str">
        <f>VLOOKUP($B257,'Standards Crosswalk'!$A:$H,3,FALSE)</f>
        <v/>
      </c>
      <c r="N257" s="180" t="str">
        <f>VLOOKUP($B257,'Standards Crosswalk'!$A:$H,4,FALSE)</f>
        <v/>
      </c>
      <c r="O257" s="180" t="str">
        <f>VLOOKUP($B257,'Standards Crosswalk'!$A:$H,5,FALSE)</f>
        <v/>
      </c>
      <c r="P257" s="180" t="str">
        <f>VLOOKUP($B257,'Standards Crosswalk'!$A:$H,6,FALSE)</f>
        <v>ID.GV-3</v>
      </c>
      <c r="Q257" s="180" t="str">
        <f>VLOOKUP($B257,'Standards Crosswalk'!$A:$H,7,FALSE)</f>
        <v/>
      </c>
      <c r="R257" s="180" t="str">
        <f>VLOOKUP($B257,'Standards Crosswalk'!$A:$H,8,FALSE)</f>
        <v/>
      </c>
      <c r="S257" s="180">
        <f>VLOOKUP($B257,'Standards Crosswalk'!$A:$I,9,FALSE)</f>
        <v>12.8</v>
      </c>
      <c r="T257" s="164"/>
      <c r="U257" s="164"/>
      <c r="V257" s="164"/>
      <c r="W257" s="164"/>
      <c r="X257" s="164"/>
      <c r="Y257" s="164"/>
      <c r="Z257" s="164"/>
    </row>
    <row r="258" ht="13.5" customHeight="1">
      <c r="A258" s="164">
        <f t="shared" si="3"/>
        <v>256</v>
      </c>
      <c r="B258" s="171" t="s">
        <v>1080</v>
      </c>
      <c r="C258" s="164" t="str">
        <f>VLOOKUP(B258,HECVAT!A:E,2,FALSE)</f>
        <v>Are you classified as a merchant?  If so, what level (1, 2, 3, 4)?</v>
      </c>
      <c r="D258" s="212" t="str">
        <f>VLOOKUP(B258,HECVAT!A:E,4,FALSE)</f>
        <v/>
      </c>
      <c r="E258" s="174" t="b">
        <f>IF(Questions!$K258&gt;20,TRUE,FALSE)</f>
        <v>1</v>
      </c>
      <c r="F258" s="204" t="s">
        <v>157</v>
      </c>
      <c r="G258" s="171" t="s">
        <v>92</v>
      </c>
      <c r="H258" s="176">
        <v>1.0</v>
      </c>
      <c r="I258" s="164" t="str">
        <f>VLOOKUP(B258,HECVAT!A:E,3,FALSE)</f>
        <v/>
      </c>
      <c r="J258" s="164">
        <f>IF(VLOOKUP(Questions!$B258,'Analyst Report'!$A$38:$G$85,7,FALSE)="Yes",1,0)</f>
        <v>0</v>
      </c>
      <c r="K258" s="164">
        <f>IF(Questions!$H258=1,25,"")</f>
        <v>25</v>
      </c>
      <c r="L258" s="164">
        <f>IF(Questions!$H258=1,J258*K258,"")</f>
        <v>0</v>
      </c>
      <c r="M258" s="180" t="str">
        <f>VLOOKUP($B258,'Standards Crosswalk'!$A:$H,3,FALSE)</f>
        <v/>
      </c>
      <c r="N258" s="180" t="str">
        <f>VLOOKUP($B258,'Standards Crosswalk'!$A:$H,4,FALSE)</f>
        <v/>
      </c>
      <c r="O258" s="180" t="str">
        <f>VLOOKUP($B258,'Standards Crosswalk'!$A:$H,5,FALSE)</f>
        <v/>
      </c>
      <c r="P258" s="180" t="str">
        <f>VLOOKUP($B258,'Standards Crosswalk'!$A:$H,6,FALSE)</f>
        <v>ID.GV-3</v>
      </c>
      <c r="Q258" s="180" t="str">
        <f>VLOOKUP($B258,'Standards Crosswalk'!$A:$H,7,FALSE)</f>
        <v/>
      </c>
      <c r="R258" s="180" t="str">
        <f>VLOOKUP($B258,'Standards Crosswalk'!$A:$H,8,FALSE)</f>
        <v/>
      </c>
      <c r="S258" s="180">
        <f>VLOOKUP($B258,'Standards Crosswalk'!$A:$I,9,FALSE)</f>
        <v>12.8</v>
      </c>
      <c r="T258" s="164"/>
      <c r="U258" s="164"/>
      <c r="V258" s="164"/>
      <c r="W258" s="164"/>
      <c r="X258" s="164"/>
      <c r="Y258" s="164"/>
      <c r="Z258" s="164"/>
    </row>
    <row r="259" ht="13.5" customHeight="1">
      <c r="A259" s="164">
        <f t="shared" si="3"/>
        <v>257</v>
      </c>
      <c r="B259" s="171" t="s">
        <v>1082</v>
      </c>
      <c r="C259" s="164" t="str">
        <f>VLOOKUP(B259,HECVAT!A:E,2,FALSE)</f>
        <v>Describe the architecture employed by the system to verify and authorize credit card transactions.</v>
      </c>
      <c r="D259" s="164" t="str">
        <f>VLOOKUP(B259,HECVAT!A:E,4,FALSE)</f>
        <v/>
      </c>
      <c r="E259" s="174" t="b">
        <f>IF(Questions!$K259&gt;20,TRUE,FALSE)</f>
        <v>0</v>
      </c>
      <c r="F259" s="204" t="s">
        <v>157</v>
      </c>
      <c r="G259" s="171" t="s">
        <v>92</v>
      </c>
      <c r="H259" s="176">
        <v>1.0</v>
      </c>
      <c r="I259" s="164" t="str">
        <f>VLOOKUP(B259,HECVAT!A:E,3,FALSE)</f>
        <v/>
      </c>
      <c r="J259" s="164">
        <f>IF(VLOOKUP(Questions!$B259,'Analyst Report'!$A$38:$G$85,7,FALSE)="Yes",1,0)</f>
        <v>0</v>
      </c>
      <c r="K259" s="164">
        <f>IF(Questions!$H259=1,20,"")</f>
        <v>20</v>
      </c>
      <c r="L259" s="164">
        <f>IF(Questions!$H259=1,J259*K259,"")</f>
        <v>0</v>
      </c>
      <c r="M259" s="180" t="str">
        <f>VLOOKUP($B259,'Standards Crosswalk'!$A:$H,3,FALSE)</f>
        <v>CSC 1, CSC 2</v>
      </c>
      <c r="N259" s="180" t="str">
        <f>VLOOKUP($B259,'Standards Crosswalk'!$A:$H,4,FALSE)</f>
        <v/>
      </c>
      <c r="O259" s="180" t="str">
        <f>VLOOKUP($B259,'Standards Crosswalk'!$A:$H,5,FALSE)</f>
        <v/>
      </c>
      <c r="P259" s="180" t="str">
        <f>VLOOKUP($B259,'Standards Crosswalk'!$A:$H,6,FALSE)</f>
        <v>ID.GV-3</v>
      </c>
      <c r="Q259" s="180" t="str">
        <f>VLOOKUP($B259,'Standards Crosswalk'!$A:$H,7,FALSE)</f>
        <v/>
      </c>
      <c r="R259" s="180" t="str">
        <f>VLOOKUP($B259,'Standards Crosswalk'!$A:$H,8,FALSE)</f>
        <v/>
      </c>
      <c r="S259" s="180" t="str">
        <f>VLOOKUP($B259,'Standards Crosswalk'!$A:$I,9,FALSE)</f>
        <v>PCI Scope</v>
      </c>
      <c r="T259" s="164"/>
      <c r="U259" s="164"/>
      <c r="V259" s="164"/>
      <c r="W259" s="164"/>
      <c r="X259" s="164"/>
      <c r="Y259" s="164"/>
      <c r="Z259" s="164"/>
    </row>
    <row r="260" ht="13.5" customHeight="1">
      <c r="A260" s="164">
        <f t="shared" si="3"/>
        <v>258</v>
      </c>
      <c r="B260" s="171" t="s">
        <v>1085</v>
      </c>
      <c r="C260" s="164" t="str">
        <f>VLOOKUP(B260,HECVAT!A:E,2,FALSE)</f>
        <v>What payment processors/gateways does the system support? </v>
      </c>
      <c r="D260" s="164" t="str">
        <f>VLOOKUP(B260,HECVAT!A:E,4,FALSE)</f>
        <v/>
      </c>
      <c r="E260" s="174" t="b">
        <f>IF(Questions!$K260&gt;20,TRUE,FALSE)</f>
        <v>0</v>
      </c>
      <c r="F260" s="204" t="s">
        <v>157</v>
      </c>
      <c r="G260" s="171" t="s">
        <v>92</v>
      </c>
      <c r="H260" s="176">
        <v>1.0</v>
      </c>
      <c r="I260" s="164" t="str">
        <f>VLOOKUP(B260,HECVAT!A:E,3,FALSE)</f>
        <v/>
      </c>
      <c r="J260" s="164">
        <f>IF(VLOOKUP(Questions!$B260,'Analyst Report'!$A$38:$G$85,7,FALSE)="Yes",1,0)</f>
        <v>0</v>
      </c>
      <c r="K260" s="164">
        <f>IF(Questions!$H260=1,20,"")</f>
        <v>20</v>
      </c>
      <c r="L260" s="164">
        <f>IF(Questions!$H260=1,J260*K260,"")</f>
        <v>0</v>
      </c>
      <c r="M260" s="180" t="str">
        <f>VLOOKUP($B260,'Standards Crosswalk'!$A:$H,3,FALSE)</f>
        <v>CSC 18</v>
      </c>
      <c r="N260" s="180" t="str">
        <f>VLOOKUP($B260,'Standards Crosswalk'!$A:$H,4,FALSE)</f>
        <v/>
      </c>
      <c r="O260" s="180" t="str">
        <f>VLOOKUP($B260,'Standards Crosswalk'!$A:$H,5,FALSE)</f>
        <v/>
      </c>
      <c r="P260" s="180" t="str">
        <f>VLOOKUP($B260,'Standards Crosswalk'!$A:$H,6,FALSE)</f>
        <v>ID.GV-3</v>
      </c>
      <c r="Q260" s="180" t="str">
        <f>VLOOKUP($B260,'Standards Crosswalk'!$A:$H,7,FALSE)</f>
        <v/>
      </c>
      <c r="R260" s="180" t="str">
        <f>VLOOKUP($B260,'Standards Crosswalk'!$A:$H,8,FALSE)</f>
        <v/>
      </c>
      <c r="S260" s="180">
        <f>VLOOKUP($B260,'Standards Crosswalk'!$A:$I,9,FALSE)</f>
        <v>12.8</v>
      </c>
      <c r="T260" s="164"/>
      <c r="U260" s="164"/>
      <c r="V260" s="164"/>
      <c r="W260" s="164"/>
      <c r="X260" s="164"/>
      <c r="Y260" s="164"/>
      <c r="Z260" s="164"/>
    </row>
    <row r="261" ht="13.5" customHeight="1">
      <c r="A261" s="164">
        <f t="shared" si="3"/>
        <v>259</v>
      </c>
      <c r="B261" s="171" t="s">
        <v>1087</v>
      </c>
      <c r="C261" s="164" t="str">
        <f>VLOOKUP(B261,HECVAT!A:E,2,FALSE)</f>
        <v>Can the application be installed in a PCI DSS compliant manner ?</v>
      </c>
      <c r="D261" s="212" t="str">
        <f>VLOOKUP(B261,HECVAT!A:E,4,FALSE)</f>
        <v/>
      </c>
      <c r="E261" s="174" t="b">
        <f>IF(Questions!$K261&gt;20,TRUE,FALSE)</f>
        <v>1</v>
      </c>
      <c r="F261" s="204" t="s">
        <v>157</v>
      </c>
      <c r="G261" s="171" t="s">
        <v>92</v>
      </c>
      <c r="H261" s="176">
        <v>1.0</v>
      </c>
      <c r="I261" s="164" t="str">
        <f>VLOOKUP(B261,HECVAT!A:E,3,FALSE)</f>
        <v/>
      </c>
      <c r="J261" s="164">
        <f>IF(Questions!$G261=Questions!$I261,1,0)</f>
        <v>0</v>
      </c>
      <c r="K261" s="164">
        <f>IF(Questions!$H261=1,25,"")</f>
        <v>25</v>
      </c>
      <c r="L261" s="164">
        <f>IF(Questions!$H261=1,J261*K261,"")</f>
        <v>0</v>
      </c>
      <c r="M261" s="180" t="str">
        <f>VLOOKUP($B261,'Standards Crosswalk'!$A:$H,3,FALSE)</f>
        <v>CSC 10</v>
      </c>
      <c r="N261" s="180" t="str">
        <f>VLOOKUP($B261,'Standards Crosswalk'!$A:$H,4,FALSE)</f>
        <v/>
      </c>
      <c r="O261" s="180" t="str">
        <f>VLOOKUP($B261,'Standards Crosswalk'!$A:$H,5,FALSE)</f>
        <v/>
      </c>
      <c r="P261" s="180" t="str">
        <f>VLOOKUP($B261,'Standards Crosswalk'!$A:$H,6,FALSE)</f>
        <v>ID.GV-3</v>
      </c>
      <c r="Q261" s="180" t="str">
        <f>VLOOKUP($B261,'Standards Crosswalk'!$A:$H,7,FALSE)</f>
        <v/>
      </c>
      <c r="R261" s="180" t="str">
        <f>VLOOKUP($B261,'Standards Crosswalk'!$A:$H,8,FALSE)</f>
        <v/>
      </c>
      <c r="S261" s="180">
        <f>VLOOKUP($B261,'Standards Crosswalk'!$A:$I,9,FALSE)</f>
        <v>12.8</v>
      </c>
      <c r="T261" s="164"/>
      <c r="U261" s="164"/>
      <c r="V261" s="164"/>
      <c r="W261" s="164"/>
      <c r="X261" s="164"/>
      <c r="Y261" s="164"/>
      <c r="Z261" s="164"/>
    </row>
    <row r="262" ht="13.5" customHeight="1">
      <c r="A262" s="164">
        <f t="shared" si="3"/>
        <v>260</v>
      </c>
      <c r="B262" s="171" t="s">
        <v>1089</v>
      </c>
      <c r="C262" s="164" t="str">
        <f>VLOOKUP(B262,HECVAT!A:E,2,FALSE)</f>
        <v>Is the application listed as an approved PA-DSS application? </v>
      </c>
      <c r="D262" s="212" t="str">
        <f>VLOOKUP(B262,HECVAT!A:E,4,FALSE)</f>
        <v/>
      </c>
      <c r="E262" s="174" t="b">
        <f>IF(Questions!$K262&gt;20,TRUE,FALSE)</f>
        <v>0</v>
      </c>
      <c r="F262" s="204" t="s">
        <v>157</v>
      </c>
      <c r="G262" s="171" t="s">
        <v>92</v>
      </c>
      <c r="H262" s="176">
        <v>1.0</v>
      </c>
      <c r="I262" s="164" t="str">
        <f>VLOOKUP(B262,HECVAT!A:E,3,FALSE)</f>
        <v/>
      </c>
      <c r="J262" s="164">
        <f>IF(Questions!$G262=Questions!$I262,1,0)</f>
        <v>0</v>
      </c>
      <c r="K262" s="164">
        <f>IF(Questions!$H262=1,20,"")</f>
        <v>20</v>
      </c>
      <c r="L262" s="164">
        <f>IF(Questions!$H262=1,J262*K262,"")</f>
        <v>0</v>
      </c>
      <c r="M262" s="180" t="str">
        <f>VLOOKUP($B262,'Standards Crosswalk'!$A:$H,3,FALSE)</f>
        <v/>
      </c>
      <c r="N262" s="180" t="str">
        <f>VLOOKUP($B262,'Standards Crosswalk'!$A:$H,4,FALSE)</f>
        <v/>
      </c>
      <c r="O262" s="180" t="str">
        <f>VLOOKUP($B262,'Standards Crosswalk'!$A:$H,5,FALSE)</f>
        <v/>
      </c>
      <c r="P262" s="180" t="str">
        <f>VLOOKUP($B262,'Standards Crosswalk'!$A:$H,6,FALSE)</f>
        <v>ID.GV-3</v>
      </c>
      <c r="Q262" s="180" t="str">
        <f>VLOOKUP($B262,'Standards Crosswalk'!$A:$H,7,FALSE)</f>
        <v/>
      </c>
      <c r="R262" s="180" t="str">
        <f>VLOOKUP($B262,'Standards Crosswalk'!$A:$H,8,FALSE)</f>
        <v/>
      </c>
      <c r="S262" s="180">
        <f>VLOOKUP($B262,'Standards Crosswalk'!$A:$I,9,FALSE)</f>
        <v>12.8</v>
      </c>
      <c r="T262" s="164"/>
      <c r="U262" s="164"/>
      <c r="V262" s="164"/>
      <c r="W262" s="164"/>
      <c r="X262" s="164"/>
      <c r="Y262" s="164"/>
      <c r="Z262" s="164"/>
    </row>
    <row r="263" ht="13.5" customHeight="1">
      <c r="A263" s="164">
        <f t="shared" si="3"/>
        <v>261</v>
      </c>
      <c r="B263" s="171" t="s">
        <v>1092</v>
      </c>
      <c r="C263" s="164" t="str">
        <f>VLOOKUP(B263,HECVAT!A:E,2,FALSE)</f>
        <v>Does the system or products use a third party to collect, store, process, or transmit cardholder (payment/credit/debt card) data?</v>
      </c>
      <c r="D263" s="212" t="str">
        <f>VLOOKUP(B263,HECVAT!A:E,4,FALSE)</f>
        <v/>
      </c>
      <c r="E263" s="174" t="b">
        <f>IF(Questions!$K263&gt;20,TRUE,FALSE)</f>
        <v>0</v>
      </c>
      <c r="F263" s="204" t="s">
        <v>157</v>
      </c>
      <c r="G263" s="171" t="s">
        <v>85</v>
      </c>
      <c r="H263" s="176">
        <v>1.0</v>
      </c>
      <c r="I263" s="164" t="str">
        <f>VLOOKUP(B263,HECVAT!A:E,3,FALSE)</f>
        <v/>
      </c>
      <c r="J263" s="164">
        <f>IF(Questions!$G263=Questions!$I263,1,0)</f>
        <v>0</v>
      </c>
      <c r="K263" s="164">
        <f>IF(Questions!$H263=1,20,"")</f>
        <v>20</v>
      </c>
      <c r="L263" s="164">
        <f>IF(Questions!$H263=1,J263*K263,"")</f>
        <v>0</v>
      </c>
      <c r="M263" s="180" t="str">
        <f>VLOOKUP($B263,'Standards Crosswalk'!$A:$H,3,FALSE)</f>
        <v>CSC 12, CSC 13</v>
      </c>
      <c r="N263" s="180" t="str">
        <f>VLOOKUP($B263,'Standards Crosswalk'!$A:$H,4,FALSE)</f>
        <v/>
      </c>
      <c r="O263" s="180" t="str">
        <f>VLOOKUP($B263,'Standards Crosswalk'!$A:$H,5,FALSE)</f>
        <v/>
      </c>
      <c r="P263" s="180" t="str">
        <f>VLOOKUP($B263,'Standards Crosswalk'!$A:$H,6,FALSE)</f>
        <v>ID.GV-3</v>
      </c>
      <c r="Q263" s="180" t="str">
        <f>VLOOKUP($B263,'Standards Crosswalk'!$A:$H,7,FALSE)</f>
        <v/>
      </c>
      <c r="R263" s="180" t="str">
        <f>VLOOKUP($B263,'Standards Crosswalk'!$A:$H,8,FALSE)</f>
        <v/>
      </c>
      <c r="S263" s="180">
        <f>VLOOKUP($B263,'Standards Crosswalk'!$A:$I,9,FALSE)</f>
        <v>12.8</v>
      </c>
      <c r="T263" s="164"/>
      <c r="U263" s="164"/>
      <c r="V263" s="164"/>
      <c r="W263" s="164"/>
      <c r="X263" s="164"/>
      <c r="Y263" s="164"/>
      <c r="Z263" s="164"/>
    </row>
    <row r="264" ht="13.5" customHeight="1">
      <c r="A264" s="164">
        <f t="shared" si="3"/>
        <v>262</v>
      </c>
      <c r="B264" s="171" t="s">
        <v>1095</v>
      </c>
      <c r="C264" s="164" t="str">
        <f>VLOOKUP(B264,HECVAT!A:E,2,FALSE)</f>
        <v>Include documentation describing the systems' abilities to comply with the PCI DSS and any features or capabilities of the system that must be added or changed in order to operate in compliance with the standards. </v>
      </c>
      <c r="D264" s="164" t="str">
        <f>VLOOKUP(B264,HECVAT!A:E,4,FALSE)</f>
        <v/>
      </c>
      <c r="E264" s="174" t="b">
        <f>IF(Questions!$K264&gt;20,TRUE,FALSE)</f>
        <v>0</v>
      </c>
      <c r="F264" s="204" t="s">
        <v>157</v>
      </c>
      <c r="G264" s="171" t="s">
        <v>85</v>
      </c>
      <c r="H264" s="176">
        <v>1.0</v>
      </c>
      <c r="I264" s="164" t="str">
        <f>VLOOKUP(B264,HECVAT!A:E,3,FALSE)</f>
        <v/>
      </c>
      <c r="J264" s="164">
        <f>IF(VLOOKUP(Questions!$B264,'Analyst Report'!$A$38:$G$85,7,FALSE)="Yes",1,0)</f>
        <v>0</v>
      </c>
      <c r="K264" s="164">
        <f>IF(Questions!$H264=1,20,"")</f>
        <v>20</v>
      </c>
      <c r="L264" s="164">
        <f>IF(Questions!$H264=1,J264*K264,"")</f>
        <v>0</v>
      </c>
      <c r="M264" s="180" t="str">
        <f>VLOOKUP($B264,'Standards Crosswalk'!$A:$H,3,FALSE)</f>
        <v>CSC 10</v>
      </c>
      <c r="N264" s="180" t="str">
        <f>VLOOKUP($B264,'Standards Crosswalk'!$A:$H,4,FALSE)</f>
        <v/>
      </c>
      <c r="O264" s="180" t="str">
        <f>VLOOKUP($B264,'Standards Crosswalk'!$A:$H,5,FALSE)</f>
        <v/>
      </c>
      <c r="P264" s="180" t="str">
        <f>VLOOKUP($B264,'Standards Crosswalk'!$A:$H,6,FALSE)</f>
        <v>ID.GV-3</v>
      </c>
      <c r="Q264" s="180" t="str">
        <f>VLOOKUP($B264,'Standards Crosswalk'!$A:$H,7,FALSE)</f>
        <v/>
      </c>
      <c r="R264" s="180" t="str">
        <f>VLOOKUP($B264,'Standards Crosswalk'!$A:$H,8,FALSE)</f>
        <v/>
      </c>
      <c r="S264" s="180">
        <f>VLOOKUP($B264,'Standards Crosswalk'!$A:$I,9,FALSE)</f>
        <v>12.8</v>
      </c>
      <c r="T264" s="164"/>
      <c r="U264" s="164"/>
      <c r="V264" s="164"/>
      <c r="W264" s="164"/>
      <c r="X264" s="164"/>
      <c r="Y264" s="164"/>
      <c r="Z264" s="164"/>
    </row>
    <row r="265" ht="13.5" customHeight="1">
      <c r="A265" s="164">
        <f t="shared" si="3"/>
        <v>263</v>
      </c>
      <c r="B265" s="228" t="s">
        <v>115</v>
      </c>
      <c r="C265" s="164" t="str">
        <f>VLOOKUP(B265,HECVAT!A:E,2,FALSE)</f>
        <v>Describe your organization’s business background and ownership structure, including all parent and subsidiary relationships.</v>
      </c>
      <c r="D265" s="164" t="str">
        <f>VLOOKUP(B265,HECVAT!A:E,4,FALSE)</f>
        <v/>
      </c>
      <c r="E265" s="229" t="b">
        <f>IF(Questions!$K265&gt;20,TRUE,FALSE)</f>
        <v>0</v>
      </c>
      <c r="F265" s="230" t="s">
        <v>2740</v>
      </c>
      <c r="G265" s="228"/>
      <c r="H265" s="231">
        <v>1.0</v>
      </c>
      <c r="I265" s="164" t="str">
        <f>VLOOKUP(B265,HECVAT!A:E,3,FALSE)</f>
        <v>Ivy.ai, Inc. is a Delaware C-Corporation</v>
      </c>
      <c r="J265" s="164">
        <f>IF(VLOOKUP(Questions!$B265,'Analyst Report'!$A$35:$G$85,7,FALSE)="Yes",1,0)</f>
        <v>0</v>
      </c>
      <c r="K265" s="164">
        <f>IF(Questions!$H265=1,10,"")</f>
        <v>10</v>
      </c>
      <c r="L265" s="164">
        <f>IF(Questions!$H265=1,J265*K265,"")</f>
        <v>0</v>
      </c>
      <c r="M265" s="180" t="str">
        <f>VLOOKUP($B265,'Standards Crosswalk'!$A:$H,3,FALSE)</f>
        <v/>
      </c>
      <c r="N265" s="180" t="str">
        <f>VLOOKUP($B265,'Standards Crosswalk'!$A:$H,4,FALSE)</f>
        <v/>
      </c>
      <c r="O265" s="180" t="str">
        <f>VLOOKUP($B265,'Standards Crosswalk'!$A:$H,5,FALSE)</f>
        <v/>
      </c>
      <c r="P265" s="180" t="str">
        <f>VLOOKUP($B265,'Standards Crosswalk'!$A:$H,6,FALSE)</f>
        <v/>
      </c>
      <c r="Q265" s="180" t="str">
        <f>VLOOKUP($B265,'Standards Crosswalk'!$A:$H,7,FALSE)</f>
        <v/>
      </c>
      <c r="R265" s="180" t="str">
        <f>VLOOKUP($B265,'Standards Crosswalk'!$A:$H,8,FALSE)</f>
        <v/>
      </c>
      <c r="S265" s="180">
        <f>VLOOKUP($B265,'Standards Crosswalk'!$A:$I,9,FALSE)</f>
        <v>12.8</v>
      </c>
      <c r="T265" s="164"/>
      <c r="U265" s="164"/>
      <c r="V265" s="164"/>
      <c r="W265" s="164"/>
      <c r="X265" s="164"/>
      <c r="Y265" s="164"/>
      <c r="Z265" s="164"/>
    </row>
    <row r="266" ht="13.5" customHeight="1">
      <c r="A266" s="164">
        <f t="shared" si="3"/>
        <v>264</v>
      </c>
      <c r="B266" s="228" t="s">
        <v>119</v>
      </c>
      <c r="C266" s="164" t="str">
        <f>VLOOKUP(B266,HECVAT!A:E,2,FALSE)</f>
        <v>Describe how long your organization has conducted business in this product area.</v>
      </c>
      <c r="D266" s="164" t="str">
        <f>VLOOKUP(B266,HECVAT!A:E,4,FALSE)</f>
        <v/>
      </c>
      <c r="E266" s="229" t="b">
        <f>IF(Questions!$K266&gt;20,TRUE,FALSE)</f>
        <v>0</v>
      </c>
      <c r="F266" s="230" t="s">
        <v>2740</v>
      </c>
      <c r="G266" s="228"/>
      <c r="H266" s="231">
        <v>1.0</v>
      </c>
      <c r="I266" s="164" t="str">
        <f>VLOOKUP(B266,HECVAT!A:E,3,FALSE)</f>
        <v>3 years</v>
      </c>
      <c r="J266" s="164">
        <f>IF(VLOOKUP(Questions!$B266,'Analyst Report'!$A$35:$G$85,7,FALSE)="Yes",1,0)</f>
        <v>0</v>
      </c>
      <c r="K266" s="164">
        <f>IF(Questions!$H266=1,10,"")</f>
        <v>10</v>
      </c>
      <c r="L266" s="164">
        <f>IF(Questions!$H266=1,J266*K266,"")</f>
        <v>0</v>
      </c>
      <c r="M266" s="180" t="str">
        <f>VLOOKUP($B266,'Standards Crosswalk'!$A:$H,3,FALSE)</f>
        <v/>
      </c>
      <c r="N266" s="180" t="str">
        <f>VLOOKUP($B266,'Standards Crosswalk'!$A:$H,4,FALSE)</f>
        <v/>
      </c>
      <c r="O266" s="180" t="str">
        <f>VLOOKUP($B266,'Standards Crosswalk'!$A:$H,5,FALSE)</f>
        <v/>
      </c>
      <c r="P266" s="180" t="str">
        <f>VLOOKUP($B266,'Standards Crosswalk'!$A:$H,6,FALSE)</f>
        <v/>
      </c>
      <c r="Q266" s="180" t="str">
        <f>VLOOKUP($B266,'Standards Crosswalk'!$A:$H,7,FALSE)</f>
        <v/>
      </c>
      <c r="R266" s="180" t="str">
        <f>VLOOKUP($B266,'Standards Crosswalk'!$A:$H,8,FALSE)</f>
        <v/>
      </c>
      <c r="S266" s="180">
        <f>VLOOKUP($B266,'Standards Crosswalk'!$A:$I,9,FALSE)</f>
        <v>12.8</v>
      </c>
      <c r="T266" s="164"/>
      <c r="U266" s="164"/>
      <c r="V266" s="164"/>
      <c r="W266" s="164"/>
      <c r="X266" s="164"/>
      <c r="Y266" s="164"/>
      <c r="Z266" s="164"/>
    </row>
    <row r="267" ht="13.5" customHeight="1">
      <c r="A267" s="164">
        <f t="shared" si="3"/>
        <v>265</v>
      </c>
      <c r="B267" s="228" t="s">
        <v>123</v>
      </c>
      <c r="C267" s="164" t="str">
        <f>VLOOKUP(B267,HECVAT!A:E,2,FALSE)</f>
        <v>Do you have existing higher education customers?</v>
      </c>
      <c r="D267" s="164" t="str">
        <f>VLOOKUP(B267,HECVAT!A:E,4,FALSE)</f>
        <v/>
      </c>
      <c r="E267" s="229" t="b">
        <f>IF(Questions!$K267&gt;20,TRUE,FALSE)</f>
        <v>0</v>
      </c>
      <c r="F267" s="230" t="s">
        <v>2740</v>
      </c>
      <c r="G267" s="228" t="s">
        <v>92</v>
      </c>
      <c r="H267" s="231">
        <v>1.0</v>
      </c>
      <c r="I267" s="164">
        <f>VLOOKUP(B267,HECVAT!A:E,3,FALSE)</f>
        <v>60</v>
      </c>
      <c r="J267" s="164">
        <f>IF(Questions!$G267=Questions!$I267,1,0)</f>
        <v>0</v>
      </c>
      <c r="K267" s="164">
        <f>IF(Questions!$H267=1,10,"")</f>
        <v>10</v>
      </c>
      <c r="L267" s="164">
        <f>IF(Questions!$H267=1,J267*K267,"")</f>
        <v>0</v>
      </c>
      <c r="M267" s="180" t="str">
        <f>VLOOKUP($B267,'Standards Crosswalk'!$A:$H,3,FALSE)</f>
        <v/>
      </c>
      <c r="N267" s="180" t="str">
        <f>VLOOKUP($B267,'Standards Crosswalk'!$A:$H,4,FALSE)</f>
        <v/>
      </c>
      <c r="O267" s="180" t="str">
        <f>VLOOKUP($B267,'Standards Crosswalk'!$A:$H,5,FALSE)</f>
        <v>15.2.1</v>
      </c>
      <c r="P267" s="180" t="str">
        <f>VLOOKUP($B267,'Standards Crosswalk'!$A:$H,6,FALSE)</f>
        <v/>
      </c>
      <c r="Q267" s="180" t="str">
        <f>VLOOKUP($B267,'Standards Crosswalk'!$A:$H,7,FALSE)</f>
        <v/>
      </c>
      <c r="R267" s="180" t="str">
        <f>VLOOKUP($B267,'Standards Crosswalk'!$A:$H,8,FALSE)</f>
        <v/>
      </c>
      <c r="S267" s="180">
        <f>VLOOKUP($B267,'Standards Crosswalk'!$A:$I,9,FALSE)</f>
        <v>12.8</v>
      </c>
      <c r="T267" s="164"/>
      <c r="U267" s="164"/>
      <c r="V267" s="164"/>
      <c r="W267" s="164"/>
      <c r="X267" s="164"/>
      <c r="Y267" s="164"/>
      <c r="Z267" s="164"/>
    </row>
    <row r="268" ht="13.5" customHeight="1">
      <c r="A268" s="164">
        <f t="shared" si="3"/>
        <v>266</v>
      </c>
      <c r="B268" s="228" t="s">
        <v>125</v>
      </c>
      <c r="C268" s="164" t="str">
        <f>VLOOKUP(B268,HECVAT!A:E,2,FALSE)</f>
        <v>Have you had a significant breach in the last 5 years?</v>
      </c>
      <c r="D268" s="164" t="str">
        <f>VLOOKUP(B268,HECVAT!A:E,4,FALSE)</f>
        <v/>
      </c>
      <c r="E268" s="229" t="b">
        <f>IF(Questions!$K268&gt;20,TRUE,FALSE)</f>
        <v>1</v>
      </c>
      <c r="F268" s="230" t="s">
        <v>2740</v>
      </c>
      <c r="G268" s="228" t="s">
        <v>85</v>
      </c>
      <c r="H268" s="231">
        <v>1.0</v>
      </c>
      <c r="I268" s="164" t="str">
        <f>VLOOKUP(B268,HECVAT!A:E,3,FALSE)</f>
        <v>No</v>
      </c>
      <c r="J268" s="164">
        <f>IF(Questions!$G268=Questions!$I268,1,0)</f>
        <v>1</v>
      </c>
      <c r="K268" s="164">
        <f>IF(Questions!$H268=1,25,"")</f>
        <v>25</v>
      </c>
      <c r="L268" s="164">
        <f>IF(Questions!$H268=1,J268*K268,"")</f>
        <v>25</v>
      </c>
      <c r="M268" s="180" t="str">
        <f>VLOOKUP($B268,'Standards Crosswalk'!$A:$H,3,FALSE)</f>
        <v/>
      </c>
      <c r="N268" s="180" t="str">
        <f>VLOOKUP($B268,'Standards Crosswalk'!$A:$H,4,FALSE)</f>
        <v/>
      </c>
      <c r="O268" s="180" t="str">
        <f>VLOOKUP($B268,'Standards Crosswalk'!$A:$H,5,FALSE)</f>
        <v/>
      </c>
      <c r="P268" s="180" t="str">
        <f>VLOOKUP($B268,'Standards Crosswalk'!$A:$H,6,FALSE)</f>
        <v/>
      </c>
      <c r="Q268" s="180" t="str">
        <f>VLOOKUP($B268,'Standards Crosswalk'!$A:$H,7,FALSE)</f>
        <v/>
      </c>
      <c r="R268" s="180" t="str">
        <f>VLOOKUP($B268,'Standards Crosswalk'!$A:$H,8,FALSE)</f>
        <v/>
      </c>
      <c r="S268" s="180" t="str">
        <f>VLOOKUP($B268,'Standards Crosswalk'!$A:$I,9,FALSE)</f>
        <v/>
      </c>
      <c r="T268" s="164"/>
      <c r="U268" s="164"/>
      <c r="V268" s="164"/>
      <c r="W268" s="164"/>
      <c r="X268" s="164"/>
      <c r="Y268" s="164"/>
      <c r="Z268" s="164"/>
    </row>
    <row r="269" ht="13.5" customHeight="1">
      <c r="A269" s="164">
        <f t="shared" si="3"/>
        <v>267</v>
      </c>
      <c r="B269" s="228" t="s">
        <v>128</v>
      </c>
      <c r="C269" s="164" t="str">
        <f>VLOOKUP(B269,HECVAT!A:E,2,FALSE)</f>
        <v>Do you have a dedicated Information Security staff or office?</v>
      </c>
      <c r="D269" s="164" t="str">
        <f>VLOOKUP(B269,HECVAT!A:E,4,FALSE)</f>
        <v>2 security experts: Michal Oglodek (CTO), Patryk Majewski, VP </v>
      </c>
      <c r="E269" s="229" t="b">
        <f>IF(Questions!$K269&gt;20,TRUE,FALSE)</f>
        <v>1</v>
      </c>
      <c r="F269" s="230" t="s">
        <v>2740</v>
      </c>
      <c r="G269" s="228" t="s">
        <v>92</v>
      </c>
      <c r="H269" s="231">
        <v>1.0</v>
      </c>
      <c r="I269" s="164" t="str">
        <f>VLOOKUP(B269,HECVAT!A:E,3,FALSE)</f>
        <v>Yes</v>
      </c>
      <c r="J269" s="164">
        <f>IF(Questions!$G269=Questions!$I269,1,0)</f>
        <v>1</v>
      </c>
      <c r="K269" s="164">
        <f>IF(Questions!$H269=1,25,"")</f>
        <v>25</v>
      </c>
      <c r="L269" s="164">
        <f>IF(Questions!$H269=1,J269*K269,"")</f>
        <v>25</v>
      </c>
      <c r="M269" s="180" t="str">
        <f>VLOOKUP($B269,'Standards Crosswalk'!$A:$H,3,FALSE)</f>
        <v/>
      </c>
      <c r="N269" s="180" t="str">
        <f>VLOOKUP($B269,'Standards Crosswalk'!$A:$H,4,FALSE)</f>
        <v/>
      </c>
      <c r="O269" s="180" t="str">
        <f>VLOOKUP($B269,'Standards Crosswalk'!$A:$H,5,FALSE)</f>
        <v>15.2.1</v>
      </c>
      <c r="P269" s="180" t="str">
        <f>VLOOKUP($B269,'Standards Crosswalk'!$A:$H,6,FALSE)</f>
        <v/>
      </c>
      <c r="Q269" s="180" t="str">
        <f>VLOOKUP($B269,'Standards Crosswalk'!$A:$H,7,FALSE)</f>
        <v/>
      </c>
      <c r="R269" s="180" t="str">
        <f>VLOOKUP($B269,'Standards Crosswalk'!$A:$H,8,FALSE)</f>
        <v/>
      </c>
      <c r="S269" s="180" t="str">
        <f>VLOOKUP($B269,'Standards Crosswalk'!$A:$I,9,FALSE)</f>
        <v>12.8, 12.5</v>
      </c>
      <c r="T269" s="164"/>
      <c r="U269" s="164"/>
      <c r="V269" s="164"/>
      <c r="W269" s="164"/>
      <c r="X269" s="164"/>
      <c r="Y269" s="164"/>
      <c r="Z269" s="164"/>
    </row>
    <row r="270" ht="13.5" customHeight="1">
      <c r="A270" s="164">
        <f t="shared" si="3"/>
        <v>268</v>
      </c>
      <c r="B270" s="228" t="s">
        <v>131</v>
      </c>
      <c r="C270" s="164" t="str">
        <f>VLOOKUP(B270,HECVAT!A:E,2,FALSE)</f>
        <v>Do you have a dedicated Software and System Development team(s)? (e.g. Customer Support, Implementation, Product Management, etc.)</v>
      </c>
      <c r="D270" s="164" t="str">
        <f>VLOOKUP(B270,HECVAT!A:E,4,FALSE)</f>
        <v>5 developers, 2 QA</v>
      </c>
      <c r="E270" s="229" t="b">
        <f>IF(Questions!$K270&gt;20,TRUE,FALSE)</f>
        <v>0</v>
      </c>
      <c r="F270" s="230" t="s">
        <v>2740</v>
      </c>
      <c r="G270" s="228" t="s">
        <v>92</v>
      </c>
      <c r="H270" s="231">
        <v>1.0</v>
      </c>
      <c r="I270" s="164" t="str">
        <f>VLOOKUP(B270,HECVAT!A:E,3,FALSE)</f>
        <v>Yes</v>
      </c>
      <c r="J270" s="164">
        <f>IF(Questions!$G270=Questions!$I270,1,0)</f>
        <v>1</v>
      </c>
      <c r="K270" s="164">
        <f>IF(Questions!$H270=1,15,"")</f>
        <v>15</v>
      </c>
      <c r="L270" s="164">
        <f>IF(Questions!$H270=1,J270*K270,"")</f>
        <v>15</v>
      </c>
      <c r="M270" s="180" t="str">
        <f>VLOOKUP($B270,'Standards Crosswalk'!$A:$H,3,FALSE)</f>
        <v/>
      </c>
      <c r="N270" s="180" t="str">
        <f>VLOOKUP($B270,'Standards Crosswalk'!$A:$H,4,FALSE)</f>
        <v/>
      </c>
      <c r="O270" s="180" t="str">
        <f>VLOOKUP($B270,'Standards Crosswalk'!$A:$H,5,FALSE)</f>
        <v>14.2.1</v>
      </c>
      <c r="P270" s="180" t="str">
        <f>VLOOKUP($B270,'Standards Crosswalk'!$A:$H,6,FALSE)</f>
        <v/>
      </c>
      <c r="Q270" s="180" t="str">
        <f>VLOOKUP($B270,'Standards Crosswalk'!$A:$H,7,FALSE)</f>
        <v/>
      </c>
      <c r="R270" s="180" t="str">
        <f>VLOOKUP($B270,'Standards Crosswalk'!$A:$H,8,FALSE)</f>
        <v>SA-3, SA-15, SC-2, PM-2, PM-10, SI-5,PM-3 </v>
      </c>
      <c r="S270" s="180">
        <f>VLOOKUP($B270,'Standards Crosswalk'!$A:$I,9,FALSE)</f>
        <v>12.8</v>
      </c>
      <c r="T270" s="164"/>
      <c r="U270" s="164"/>
      <c r="V270" s="164"/>
      <c r="W270" s="164"/>
      <c r="X270" s="164"/>
      <c r="Y270" s="164"/>
      <c r="Z270" s="164"/>
    </row>
    <row r="271" ht="13.5" customHeight="1">
      <c r="A271" s="164">
        <f t="shared" si="3"/>
        <v>269</v>
      </c>
      <c r="B271" s="228" t="s">
        <v>134</v>
      </c>
      <c r="C271" s="164" t="str">
        <f>VLOOKUP(B271,HECVAT!A:E,2,FALSE)</f>
        <v>Use this area to share information about your environment that will assist those who are assessing your company data security program.</v>
      </c>
      <c r="D271" s="164" t="str">
        <f>VLOOKUP(B271,HECVAT!A:E,4,FALSE)</f>
        <v/>
      </c>
      <c r="E271" s="229" t="b">
        <f>IF(Questions!$K271&gt;20,TRUE,FALSE)</f>
        <v>1</v>
      </c>
      <c r="F271" s="230" t="s">
        <v>2740</v>
      </c>
      <c r="G271" s="228"/>
      <c r="H271" s="231">
        <v>1.0</v>
      </c>
      <c r="I271" s="164" t="str">
        <f>VLOOKUP(B271,HECVAT!A:E,3,FALSE)</f>
        <v/>
      </c>
      <c r="J271" s="164">
        <f>IF(VLOOKUP(Questions!$B271,'Analyst Report'!$A$35:$G$85,7,FALSE)="Yes",1,0)</f>
        <v>0</v>
      </c>
      <c r="K271" s="164">
        <f>IF(Questions!$H271=1,25,"")</f>
        <v>25</v>
      </c>
      <c r="L271" s="164">
        <f>IF(Questions!$H271=1,J271*K271,"")</f>
        <v>0</v>
      </c>
      <c r="M271" s="180" t="str">
        <f>VLOOKUP($B271,'Standards Crosswalk'!$A:$H,3,FALSE)</f>
        <v/>
      </c>
      <c r="N271" s="180" t="str">
        <f>VLOOKUP($B271,'Standards Crosswalk'!$A:$H,4,FALSE)</f>
        <v/>
      </c>
      <c r="O271" s="180" t="str">
        <f>VLOOKUP($B271,'Standards Crosswalk'!$A:$H,5,FALSE)</f>
        <v>15.2.1</v>
      </c>
      <c r="P271" s="180" t="str">
        <f>VLOOKUP($B271,'Standards Crosswalk'!$A:$H,6,FALSE)</f>
        <v/>
      </c>
      <c r="Q271" s="180" t="str">
        <f>VLOOKUP($B271,'Standards Crosswalk'!$A:$H,7,FALSE)</f>
        <v/>
      </c>
      <c r="R271" s="180" t="str">
        <f>VLOOKUP($B271,'Standards Crosswalk'!$A:$H,8,FALSE)</f>
        <v/>
      </c>
      <c r="S271" s="180">
        <f>VLOOKUP($B271,'Standards Crosswalk'!$A:$I,9,FALSE)</f>
        <v>12.8</v>
      </c>
      <c r="T271" s="164"/>
      <c r="U271" s="164"/>
      <c r="V271" s="164"/>
      <c r="W271" s="164"/>
      <c r="X271" s="164"/>
      <c r="Y271" s="164"/>
      <c r="Z271" s="164"/>
    </row>
    <row r="272" ht="13.5" customHeight="1">
      <c r="A272" s="164"/>
      <c r="B272" s="164"/>
      <c r="C272" s="164"/>
      <c r="D272" s="164"/>
      <c r="E272" s="164"/>
      <c r="F272" s="164"/>
      <c r="G272" s="164"/>
      <c r="H272" s="164"/>
      <c r="I272" s="164"/>
      <c r="J272" s="164"/>
      <c r="K272" s="164"/>
      <c r="L272" s="164"/>
      <c r="M272" s="164"/>
      <c r="N272" s="164"/>
      <c r="O272" s="164"/>
      <c r="P272" s="164"/>
      <c r="Q272" s="164"/>
      <c r="R272" s="164"/>
      <c r="S272" s="164"/>
      <c r="T272" s="164"/>
      <c r="U272" s="164"/>
      <c r="V272" s="164"/>
      <c r="W272" s="164"/>
      <c r="X272" s="164"/>
      <c r="Y272" s="164"/>
      <c r="Z272" s="164"/>
    </row>
    <row r="273" ht="13.5" customHeight="1">
      <c r="A273" s="164"/>
      <c r="B273" s="164"/>
      <c r="C273" s="164"/>
      <c r="D273" s="164"/>
      <c r="E273" s="164"/>
      <c r="F273" s="164"/>
      <c r="G273" s="164"/>
      <c r="H273" s="164"/>
      <c r="I273" s="164"/>
      <c r="J273" s="164"/>
      <c r="K273" s="164"/>
      <c r="L273" s="164"/>
      <c r="M273" s="164"/>
      <c r="N273" s="164"/>
      <c r="O273" s="164"/>
      <c r="P273" s="164"/>
      <c r="Q273" s="164"/>
      <c r="R273" s="164"/>
      <c r="S273" s="164"/>
      <c r="T273" s="164"/>
      <c r="U273" s="164"/>
      <c r="V273" s="164"/>
      <c r="W273" s="164"/>
      <c r="X273" s="164"/>
      <c r="Y273" s="164"/>
      <c r="Z273" s="164"/>
    </row>
    <row r="274" ht="13.5" customHeight="1">
      <c r="A274" s="164"/>
      <c r="B274" s="164"/>
      <c r="C274" s="164"/>
      <c r="D274" s="164"/>
      <c r="E274" s="164"/>
      <c r="F274" s="164"/>
      <c r="G274" s="164"/>
      <c r="H274" s="164"/>
      <c r="I274" s="164"/>
      <c r="J274" s="164"/>
      <c r="K274" s="164"/>
      <c r="L274" s="164"/>
      <c r="M274" s="164"/>
      <c r="N274" s="164"/>
      <c r="O274" s="164"/>
      <c r="P274" s="164"/>
      <c r="Q274" s="164"/>
      <c r="R274" s="164"/>
      <c r="S274" s="164"/>
      <c r="T274" s="164"/>
      <c r="U274" s="164"/>
      <c r="V274" s="164"/>
      <c r="W274" s="164"/>
      <c r="X274" s="164"/>
      <c r="Y274" s="164"/>
      <c r="Z274" s="164"/>
    </row>
    <row r="275" ht="13.5" customHeight="1">
      <c r="A275" s="164"/>
      <c r="B275" s="164"/>
      <c r="C275" s="164"/>
      <c r="D275" s="164"/>
      <c r="E275" s="164"/>
      <c r="F275" s="164"/>
      <c r="G275" s="164"/>
      <c r="H275" s="164"/>
      <c r="I275" s="164"/>
      <c r="J275" s="164"/>
      <c r="K275" s="164"/>
      <c r="L275" s="164"/>
      <c r="M275" s="164"/>
      <c r="N275" s="164"/>
      <c r="O275" s="164"/>
      <c r="P275" s="164"/>
      <c r="Q275" s="164"/>
      <c r="R275" s="164"/>
      <c r="S275" s="164"/>
      <c r="T275" s="164"/>
      <c r="U275" s="164"/>
      <c r="V275" s="164"/>
      <c r="W275" s="164"/>
      <c r="X275" s="164"/>
      <c r="Y275" s="164"/>
      <c r="Z275" s="164"/>
    </row>
    <row r="276" ht="13.5" customHeight="1">
      <c r="A276" s="164"/>
      <c r="B276" s="164"/>
      <c r="C276" s="164"/>
      <c r="D276" s="164"/>
      <c r="E276" s="164"/>
      <c r="F276" s="164"/>
      <c r="G276" s="164"/>
      <c r="H276" s="164"/>
      <c r="I276" s="164"/>
      <c r="J276" s="164"/>
      <c r="K276" s="164"/>
      <c r="L276" s="164"/>
      <c r="M276" s="164"/>
      <c r="N276" s="164"/>
      <c r="O276" s="164"/>
      <c r="P276" s="164"/>
      <c r="Q276" s="164"/>
      <c r="R276" s="164"/>
      <c r="S276" s="164"/>
      <c r="T276" s="164"/>
      <c r="U276" s="164"/>
      <c r="V276" s="164"/>
      <c r="W276" s="164"/>
      <c r="X276" s="164"/>
      <c r="Y276" s="164"/>
      <c r="Z276" s="164"/>
    </row>
    <row r="277" ht="13.5" customHeight="1">
      <c r="A277" s="164"/>
      <c r="B277" s="164"/>
      <c r="C277" s="164"/>
      <c r="D277" s="164"/>
      <c r="E277" s="164"/>
      <c r="F277" s="164"/>
      <c r="G277" s="164"/>
      <c r="H277" s="164"/>
      <c r="I277" s="164"/>
      <c r="J277" s="164"/>
      <c r="K277" s="164"/>
      <c r="L277" s="164"/>
      <c r="M277" s="164"/>
      <c r="N277" s="164"/>
      <c r="O277" s="164"/>
      <c r="P277" s="164"/>
      <c r="Q277" s="164"/>
      <c r="R277" s="164"/>
      <c r="S277" s="164"/>
      <c r="T277" s="164"/>
      <c r="U277" s="164"/>
      <c r="V277" s="164"/>
      <c r="W277" s="164"/>
      <c r="X277" s="164"/>
      <c r="Y277" s="164"/>
      <c r="Z277" s="164"/>
    </row>
    <row r="278" ht="13.5" customHeight="1">
      <c r="A278" s="164"/>
      <c r="B278" s="164"/>
      <c r="C278" s="164"/>
      <c r="D278" s="164"/>
      <c r="E278" s="164"/>
      <c r="F278" s="164"/>
      <c r="G278" s="164"/>
      <c r="H278" s="164"/>
      <c r="I278" s="164"/>
      <c r="J278" s="164"/>
      <c r="K278" s="164"/>
      <c r="L278" s="164"/>
      <c r="M278" s="164"/>
      <c r="N278" s="164"/>
      <c r="O278" s="164"/>
      <c r="P278" s="164"/>
      <c r="Q278" s="164"/>
      <c r="R278" s="164"/>
      <c r="S278" s="164"/>
      <c r="T278" s="164"/>
      <c r="U278" s="164"/>
      <c r="V278" s="164"/>
      <c r="W278" s="164"/>
      <c r="X278" s="164"/>
      <c r="Y278" s="164"/>
      <c r="Z278" s="164"/>
    </row>
    <row r="279" ht="13.5" customHeight="1">
      <c r="A279" s="164"/>
      <c r="B279" s="164"/>
      <c r="C279" s="164"/>
      <c r="D279" s="164"/>
      <c r="E279" s="164"/>
      <c r="F279" s="164"/>
      <c r="G279" s="164"/>
      <c r="H279" s="164"/>
      <c r="I279" s="164"/>
      <c r="J279" s="164"/>
      <c r="K279" s="164"/>
      <c r="L279" s="164"/>
      <c r="M279" s="164"/>
      <c r="N279" s="164"/>
      <c r="O279" s="164"/>
      <c r="P279" s="164"/>
      <c r="Q279" s="164"/>
      <c r="R279" s="164"/>
      <c r="S279" s="164"/>
      <c r="T279" s="164"/>
      <c r="U279" s="164"/>
      <c r="V279" s="164"/>
      <c r="W279" s="164"/>
      <c r="X279" s="164"/>
      <c r="Y279" s="164"/>
      <c r="Z279" s="164"/>
    </row>
    <row r="280" ht="13.5" customHeight="1">
      <c r="A280" s="164"/>
      <c r="B280" s="164"/>
      <c r="C280" s="164"/>
      <c r="D280" s="164"/>
      <c r="E280" s="164"/>
      <c r="F280" s="164"/>
      <c r="G280" s="164"/>
      <c r="H280" s="164"/>
      <c r="I280" s="164"/>
      <c r="J280" s="164"/>
      <c r="K280" s="164"/>
      <c r="L280" s="164"/>
      <c r="M280" s="164"/>
      <c r="N280" s="164"/>
      <c r="O280" s="164"/>
      <c r="P280" s="164"/>
      <c r="Q280" s="164"/>
      <c r="R280" s="164"/>
      <c r="S280" s="164"/>
      <c r="T280" s="164"/>
      <c r="U280" s="164"/>
      <c r="V280" s="164"/>
      <c r="W280" s="164"/>
      <c r="X280" s="164"/>
      <c r="Y280" s="164"/>
      <c r="Z280" s="164"/>
    </row>
    <row r="281" ht="13.5" customHeight="1">
      <c r="A281" s="164"/>
      <c r="B281" s="164"/>
      <c r="C281" s="164"/>
      <c r="D281" s="164"/>
      <c r="E281" s="164"/>
      <c r="F281" s="164"/>
      <c r="G281" s="164"/>
      <c r="H281" s="164"/>
      <c r="I281" s="164"/>
      <c r="J281" s="164"/>
      <c r="K281" s="164"/>
      <c r="L281" s="164"/>
      <c r="M281" s="164"/>
      <c r="N281" s="164"/>
      <c r="O281" s="164"/>
      <c r="P281" s="164"/>
      <c r="Q281" s="164"/>
      <c r="R281" s="164"/>
      <c r="S281" s="164"/>
      <c r="T281" s="164"/>
      <c r="U281" s="164"/>
      <c r="V281" s="164"/>
      <c r="W281" s="164"/>
      <c r="X281" s="164"/>
      <c r="Y281" s="164"/>
      <c r="Z281" s="164"/>
    </row>
    <row r="282" ht="13.5" customHeight="1">
      <c r="A282" s="164"/>
      <c r="B282" s="164"/>
      <c r="C282" s="164"/>
      <c r="D282" s="164"/>
      <c r="E282" s="164"/>
      <c r="F282" s="164"/>
      <c r="G282" s="164"/>
      <c r="H282" s="164"/>
      <c r="I282" s="164"/>
      <c r="J282" s="164"/>
      <c r="K282" s="164"/>
      <c r="L282" s="164"/>
      <c r="M282" s="164"/>
      <c r="N282" s="164"/>
      <c r="O282" s="164"/>
      <c r="P282" s="164"/>
      <c r="Q282" s="164"/>
      <c r="R282" s="164"/>
      <c r="S282" s="164"/>
      <c r="T282" s="164"/>
      <c r="U282" s="164"/>
      <c r="V282" s="164"/>
      <c r="W282" s="164"/>
      <c r="X282" s="164"/>
      <c r="Y282" s="164"/>
      <c r="Z282" s="164"/>
    </row>
    <row r="283" ht="13.5" customHeight="1">
      <c r="A283" s="164"/>
      <c r="B283" s="164"/>
      <c r="C283" s="164"/>
      <c r="D283" s="164"/>
      <c r="E283" s="164"/>
      <c r="F283" s="164"/>
      <c r="G283" s="164"/>
      <c r="H283" s="164"/>
      <c r="I283" s="164"/>
      <c r="J283" s="164"/>
      <c r="K283" s="164"/>
      <c r="L283" s="164"/>
      <c r="M283" s="164"/>
      <c r="N283" s="164"/>
      <c r="O283" s="164"/>
      <c r="P283" s="164"/>
      <c r="Q283" s="164"/>
      <c r="R283" s="164"/>
      <c r="S283" s="164"/>
      <c r="T283" s="164"/>
      <c r="U283" s="164"/>
      <c r="V283" s="164"/>
      <c r="W283" s="164"/>
      <c r="X283" s="164"/>
      <c r="Y283" s="164"/>
      <c r="Z283" s="164"/>
    </row>
    <row r="284" ht="13.5" customHeight="1">
      <c r="A284" s="164"/>
      <c r="B284" s="164"/>
      <c r="C284" s="164"/>
      <c r="D284" s="164"/>
      <c r="E284" s="164"/>
      <c r="F284" s="164"/>
      <c r="G284" s="164"/>
      <c r="H284" s="164"/>
      <c r="I284" s="164"/>
      <c r="J284" s="164"/>
      <c r="K284" s="164"/>
      <c r="L284" s="164"/>
      <c r="M284" s="164"/>
      <c r="N284" s="164"/>
      <c r="O284" s="164"/>
      <c r="P284" s="164"/>
      <c r="Q284" s="164"/>
      <c r="R284" s="164"/>
      <c r="S284" s="164"/>
      <c r="T284" s="164"/>
      <c r="U284" s="164"/>
      <c r="V284" s="164"/>
      <c r="W284" s="164"/>
      <c r="X284" s="164"/>
      <c r="Y284" s="164"/>
      <c r="Z284" s="164"/>
    </row>
    <row r="285" ht="13.5" customHeight="1">
      <c r="A285" s="164"/>
      <c r="B285" s="164"/>
      <c r="C285" s="164"/>
      <c r="D285" s="164"/>
      <c r="E285" s="164"/>
      <c r="F285" s="164"/>
      <c r="G285" s="164"/>
      <c r="H285" s="164"/>
      <c r="I285" s="164"/>
      <c r="J285" s="164"/>
      <c r="K285" s="164"/>
      <c r="L285" s="164"/>
      <c r="M285" s="164"/>
      <c r="N285" s="164"/>
      <c r="O285" s="164"/>
      <c r="P285" s="164"/>
      <c r="Q285" s="164"/>
      <c r="R285" s="164"/>
      <c r="S285" s="164"/>
      <c r="T285" s="164"/>
      <c r="U285" s="164"/>
      <c r="V285" s="164"/>
      <c r="W285" s="164"/>
      <c r="X285" s="164"/>
      <c r="Y285" s="164"/>
      <c r="Z285" s="164"/>
    </row>
    <row r="286" ht="13.5" customHeight="1">
      <c r="A286" s="164"/>
      <c r="B286" s="164"/>
      <c r="C286" s="164"/>
      <c r="D286" s="164"/>
      <c r="E286" s="164"/>
      <c r="F286" s="164"/>
      <c r="G286" s="164"/>
      <c r="H286" s="164"/>
      <c r="I286" s="164"/>
      <c r="J286" s="164"/>
      <c r="K286" s="164"/>
      <c r="L286" s="164"/>
      <c r="M286" s="164"/>
      <c r="N286" s="164"/>
      <c r="O286" s="164"/>
      <c r="P286" s="164"/>
      <c r="Q286" s="164"/>
      <c r="R286" s="164"/>
      <c r="S286" s="164"/>
      <c r="T286" s="164"/>
      <c r="U286" s="164"/>
      <c r="V286" s="164"/>
      <c r="W286" s="164"/>
      <c r="X286" s="164"/>
      <c r="Y286" s="164"/>
      <c r="Z286" s="164"/>
    </row>
    <row r="287" ht="13.5" customHeight="1">
      <c r="A287" s="164"/>
      <c r="B287" s="164"/>
      <c r="C287" s="164"/>
      <c r="D287" s="164"/>
      <c r="E287" s="164"/>
      <c r="F287" s="164"/>
      <c r="G287" s="164"/>
      <c r="H287" s="164"/>
      <c r="I287" s="164"/>
      <c r="J287" s="164"/>
      <c r="K287" s="164"/>
      <c r="L287" s="164"/>
      <c r="M287" s="164"/>
      <c r="N287" s="164"/>
      <c r="O287" s="164"/>
      <c r="P287" s="164"/>
      <c r="Q287" s="164"/>
      <c r="R287" s="164"/>
      <c r="S287" s="164"/>
      <c r="T287" s="164"/>
      <c r="U287" s="164"/>
      <c r="V287" s="164"/>
      <c r="W287" s="164"/>
      <c r="X287" s="164"/>
      <c r="Y287" s="164"/>
      <c r="Z287" s="164"/>
    </row>
    <row r="288" ht="13.5" customHeight="1">
      <c r="A288" s="164"/>
      <c r="B288" s="164"/>
      <c r="C288" s="164"/>
      <c r="D288" s="164"/>
      <c r="E288" s="164"/>
      <c r="F288" s="164"/>
      <c r="G288" s="164"/>
      <c r="H288" s="164"/>
      <c r="I288" s="164"/>
      <c r="J288" s="164"/>
      <c r="K288" s="164"/>
      <c r="L288" s="164"/>
      <c r="M288" s="164"/>
      <c r="N288" s="164"/>
      <c r="O288" s="164"/>
      <c r="P288" s="164"/>
      <c r="Q288" s="164"/>
      <c r="R288" s="164"/>
      <c r="S288" s="164"/>
      <c r="T288" s="164"/>
      <c r="U288" s="164"/>
      <c r="V288" s="164"/>
      <c r="W288" s="164"/>
      <c r="X288" s="164"/>
      <c r="Y288" s="164"/>
      <c r="Z288" s="164"/>
    </row>
    <row r="289" ht="13.5" customHeight="1">
      <c r="A289" s="164"/>
      <c r="B289" s="164"/>
      <c r="C289" s="164"/>
      <c r="D289" s="164"/>
      <c r="E289" s="164"/>
      <c r="F289" s="164"/>
      <c r="G289" s="164"/>
      <c r="H289" s="164"/>
      <c r="I289" s="164"/>
      <c r="J289" s="164"/>
      <c r="K289" s="164"/>
      <c r="L289" s="164"/>
      <c r="M289" s="164"/>
      <c r="N289" s="164"/>
      <c r="O289" s="164"/>
      <c r="P289" s="164"/>
      <c r="Q289" s="164"/>
      <c r="R289" s="164"/>
      <c r="S289" s="164"/>
      <c r="T289" s="164"/>
      <c r="U289" s="164"/>
      <c r="V289" s="164"/>
      <c r="W289" s="164"/>
      <c r="X289" s="164"/>
      <c r="Y289" s="164"/>
      <c r="Z289" s="164"/>
    </row>
    <row r="290" ht="13.5" customHeight="1">
      <c r="A290" s="164"/>
      <c r="B290" s="164"/>
      <c r="C290" s="164"/>
      <c r="D290" s="164"/>
      <c r="E290" s="164"/>
      <c r="F290" s="164"/>
      <c r="G290" s="164"/>
      <c r="H290" s="164"/>
      <c r="I290" s="164"/>
      <c r="J290" s="164"/>
      <c r="K290" s="164"/>
      <c r="L290" s="164"/>
      <c r="M290" s="164"/>
      <c r="N290" s="164"/>
      <c r="O290" s="164"/>
      <c r="P290" s="164"/>
      <c r="Q290" s="164"/>
      <c r="R290" s="164"/>
      <c r="S290" s="164"/>
      <c r="T290" s="164"/>
      <c r="U290" s="164"/>
      <c r="V290" s="164"/>
      <c r="W290" s="164"/>
      <c r="X290" s="164"/>
      <c r="Y290" s="164"/>
      <c r="Z290" s="164"/>
    </row>
    <row r="291" ht="13.5" customHeight="1">
      <c r="A291" s="164"/>
      <c r="B291" s="164"/>
      <c r="C291" s="164"/>
      <c r="D291" s="164"/>
      <c r="E291" s="164"/>
      <c r="F291" s="164"/>
      <c r="G291" s="164"/>
      <c r="H291" s="164"/>
      <c r="I291" s="164"/>
      <c r="J291" s="164"/>
      <c r="K291" s="164"/>
      <c r="L291" s="164"/>
      <c r="M291" s="164"/>
      <c r="N291" s="164"/>
      <c r="O291" s="164"/>
      <c r="P291" s="164"/>
      <c r="Q291" s="164"/>
      <c r="R291" s="164"/>
      <c r="S291" s="164"/>
      <c r="T291" s="164"/>
      <c r="U291" s="164"/>
      <c r="V291" s="164"/>
      <c r="W291" s="164"/>
      <c r="X291" s="164"/>
      <c r="Y291" s="164"/>
      <c r="Z291" s="164"/>
    </row>
    <row r="292" ht="13.5" customHeight="1">
      <c r="A292" s="164"/>
      <c r="B292" s="164"/>
      <c r="C292" s="164"/>
      <c r="D292" s="164"/>
      <c r="E292" s="164"/>
      <c r="F292" s="164"/>
      <c r="G292" s="164"/>
      <c r="H292" s="164"/>
      <c r="I292" s="164"/>
      <c r="J292" s="164"/>
      <c r="K292" s="164"/>
      <c r="L292" s="164"/>
      <c r="M292" s="164"/>
      <c r="N292" s="164"/>
      <c r="O292" s="164"/>
      <c r="P292" s="164"/>
      <c r="Q292" s="164"/>
      <c r="R292" s="164"/>
      <c r="S292" s="164"/>
      <c r="T292" s="164"/>
      <c r="U292" s="164"/>
      <c r="V292" s="164"/>
      <c r="W292" s="164"/>
      <c r="X292" s="164"/>
      <c r="Y292" s="164"/>
      <c r="Z292" s="164"/>
    </row>
    <row r="293" ht="13.5" customHeight="1">
      <c r="A293" s="164"/>
      <c r="B293" s="164"/>
      <c r="C293" s="164"/>
      <c r="D293" s="164"/>
      <c r="E293" s="164"/>
      <c r="F293" s="164"/>
      <c r="G293" s="164"/>
      <c r="H293" s="164"/>
      <c r="I293" s="164"/>
      <c r="J293" s="164"/>
      <c r="K293" s="164"/>
      <c r="L293" s="164"/>
      <c r="M293" s="164"/>
      <c r="N293" s="164"/>
      <c r="O293" s="164"/>
      <c r="P293" s="164"/>
      <c r="Q293" s="164"/>
      <c r="R293" s="164"/>
      <c r="S293" s="164"/>
      <c r="T293" s="164"/>
      <c r="U293" s="164"/>
      <c r="V293" s="164"/>
      <c r="W293" s="164"/>
      <c r="X293" s="164"/>
      <c r="Y293" s="164"/>
      <c r="Z293" s="164"/>
    </row>
    <row r="294" ht="13.5" customHeight="1">
      <c r="A294" s="164"/>
      <c r="B294" s="164"/>
      <c r="C294" s="164"/>
      <c r="D294" s="164"/>
      <c r="E294" s="164"/>
      <c r="F294" s="164"/>
      <c r="G294" s="164"/>
      <c r="H294" s="164"/>
      <c r="I294" s="164"/>
      <c r="J294" s="164"/>
      <c r="K294" s="164"/>
      <c r="L294" s="164"/>
      <c r="M294" s="164"/>
      <c r="N294" s="164"/>
      <c r="O294" s="164"/>
      <c r="P294" s="164"/>
      <c r="Q294" s="164"/>
      <c r="R294" s="164"/>
      <c r="S294" s="164"/>
      <c r="T294" s="164"/>
      <c r="U294" s="164"/>
      <c r="V294" s="164"/>
      <c r="W294" s="164"/>
      <c r="X294" s="164"/>
      <c r="Y294" s="164"/>
      <c r="Z294" s="164"/>
    </row>
    <row r="295" ht="13.5" customHeight="1">
      <c r="A295" s="164"/>
      <c r="B295" s="164"/>
      <c r="C295" s="164"/>
      <c r="D295" s="164"/>
      <c r="E295" s="164"/>
      <c r="F295" s="164"/>
      <c r="G295" s="164"/>
      <c r="H295" s="164"/>
      <c r="I295" s="164"/>
      <c r="J295" s="164"/>
      <c r="K295" s="164"/>
      <c r="L295" s="164"/>
      <c r="M295" s="164"/>
      <c r="N295" s="164"/>
      <c r="O295" s="164"/>
      <c r="P295" s="164"/>
      <c r="Q295" s="164"/>
      <c r="R295" s="164"/>
      <c r="S295" s="164"/>
      <c r="T295" s="164"/>
      <c r="U295" s="164"/>
      <c r="V295" s="164"/>
      <c r="W295" s="164"/>
      <c r="X295" s="164"/>
      <c r="Y295" s="164"/>
      <c r="Z295" s="164"/>
    </row>
    <row r="296" ht="13.5" customHeight="1">
      <c r="A296" s="164"/>
      <c r="B296" s="164"/>
      <c r="C296" s="164"/>
      <c r="D296" s="164"/>
      <c r="E296" s="164"/>
      <c r="F296" s="164"/>
      <c r="G296" s="164"/>
      <c r="H296" s="164"/>
      <c r="I296" s="164"/>
      <c r="J296" s="164"/>
      <c r="K296" s="164"/>
      <c r="L296" s="164"/>
      <c r="M296" s="164"/>
      <c r="N296" s="164"/>
      <c r="O296" s="164"/>
      <c r="P296" s="164"/>
      <c r="Q296" s="164"/>
      <c r="R296" s="164"/>
      <c r="S296" s="164"/>
      <c r="T296" s="164"/>
      <c r="U296" s="164"/>
      <c r="V296" s="164"/>
      <c r="W296" s="164"/>
      <c r="X296" s="164"/>
      <c r="Y296" s="164"/>
      <c r="Z296" s="164"/>
    </row>
    <row r="297" ht="13.5" customHeight="1">
      <c r="A297" s="164"/>
      <c r="B297" s="164"/>
      <c r="C297" s="164"/>
      <c r="D297" s="164"/>
      <c r="E297" s="164"/>
      <c r="F297" s="164"/>
      <c r="G297" s="164"/>
      <c r="H297" s="164"/>
      <c r="I297" s="164"/>
      <c r="J297" s="164"/>
      <c r="K297" s="164"/>
      <c r="L297" s="164"/>
      <c r="M297" s="164"/>
      <c r="N297" s="164"/>
      <c r="O297" s="164"/>
      <c r="P297" s="164"/>
      <c r="Q297" s="164"/>
      <c r="R297" s="164"/>
      <c r="S297" s="164"/>
      <c r="T297" s="164"/>
      <c r="U297" s="164"/>
      <c r="V297" s="164"/>
      <c r="W297" s="164"/>
      <c r="X297" s="164"/>
      <c r="Y297" s="164"/>
      <c r="Z297" s="164"/>
    </row>
    <row r="298" ht="13.5" customHeight="1">
      <c r="A298" s="164"/>
      <c r="B298" s="164"/>
      <c r="C298" s="164"/>
      <c r="D298" s="164"/>
      <c r="E298" s="164"/>
      <c r="F298" s="164"/>
      <c r="G298" s="164"/>
      <c r="H298" s="164"/>
      <c r="I298" s="164"/>
      <c r="J298" s="164"/>
      <c r="K298" s="164"/>
      <c r="L298" s="164"/>
      <c r="M298" s="164"/>
      <c r="N298" s="164"/>
      <c r="O298" s="164"/>
      <c r="P298" s="164"/>
      <c r="Q298" s="164"/>
      <c r="R298" s="164"/>
      <c r="S298" s="164"/>
      <c r="T298" s="164"/>
      <c r="U298" s="164"/>
      <c r="V298" s="164"/>
      <c r="W298" s="164"/>
      <c r="X298" s="164"/>
      <c r="Y298" s="164"/>
      <c r="Z298" s="164"/>
    </row>
    <row r="299" ht="13.5" customHeight="1">
      <c r="A299" s="164"/>
      <c r="B299" s="164"/>
      <c r="C299" s="164"/>
      <c r="D299" s="164"/>
      <c r="E299" s="164"/>
      <c r="F299" s="164"/>
      <c r="G299" s="164"/>
      <c r="H299" s="164"/>
      <c r="I299" s="164"/>
      <c r="J299" s="164"/>
      <c r="K299" s="164"/>
      <c r="L299" s="164"/>
      <c r="M299" s="164"/>
      <c r="N299" s="164"/>
      <c r="O299" s="164"/>
      <c r="P299" s="164"/>
      <c r="Q299" s="164"/>
      <c r="R299" s="164"/>
      <c r="S299" s="164"/>
      <c r="T299" s="164"/>
      <c r="U299" s="164"/>
      <c r="V299" s="164"/>
      <c r="W299" s="164"/>
      <c r="X299" s="164"/>
      <c r="Y299" s="164"/>
      <c r="Z299" s="164"/>
    </row>
    <row r="300" ht="13.5" customHeight="1">
      <c r="A300" s="164"/>
      <c r="B300" s="164"/>
      <c r="C300" s="164"/>
      <c r="D300" s="164"/>
      <c r="E300" s="164"/>
      <c r="F300" s="164"/>
      <c r="G300" s="164"/>
      <c r="H300" s="164"/>
      <c r="I300" s="164"/>
      <c r="J300" s="164"/>
      <c r="K300" s="164"/>
      <c r="L300" s="164"/>
      <c r="M300" s="164"/>
      <c r="N300" s="164"/>
      <c r="O300" s="164"/>
      <c r="P300" s="164"/>
      <c r="Q300" s="164"/>
      <c r="R300" s="164"/>
      <c r="S300" s="164"/>
      <c r="T300" s="164"/>
      <c r="U300" s="164"/>
      <c r="V300" s="164"/>
      <c r="W300" s="164"/>
      <c r="X300" s="164"/>
      <c r="Y300" s="164"/>
      <c r="Z300" s="164"/>
    </row>
    <row r="301" ht="13.5" customHeight="1">
      <c r="A301" s="164"/>
      <c r="B301" s="164"/>
      <c r="C301" s="164"/>
      <c r="D301" s="164"/>
      <c r="E301" s="164"/>
      <c r="F301" s="164"/>
      <c r="G301" s="164"/>
      <c r="H301" s="164"/>
      <c r="I301" s="164"/>
      <c r="J301" s="164"/>
      <c r="K301" s="164"/>
      <c r="L301" s="164"/>
      <c r="M301" s="164"/>
      <c r="N301" s="164"/>
      <c r="O301" s="164"/>
      <c r="P301" s="164"/>
      <c r="Q301" s="164"/>
      <c r="R301" s="164"/>
      <c r="S301" s="164"/>
      <c r="T301" s="164"/>
      <c r="U301" s="164"/>
      <c r="V301" s="164"/>
      <c r="W301" s="164"/>
      <c r="X301" s="164"/>
      <c r="Y301" s="164"/>
      <c r="Z301" s="164"/>
    </row>
    <row r="302" ht="13.5" customHeight="1">
      <c r="A302" s="164"/>
      <c r="B302" s="164"/>
      <c r="C302" s="164"/>
      <c r="D302" s="164"/>
      <c r="E302" s="164"/>
      <c r="F302" s="164"/>
      <c r="G302" s="164"/>
      <c r="H302" s="164"/>
      <c r="I302" s="164"/>
      <c r="J302" s="164"/>
      <c r="K302" s="164"/>
      <c r="L302" s="164"/>
      <c r="M302" s="164"/>
      <c r="N302" s="164"/>
      <c r="O302" s="164"/>
      <c r="P302" s="164"/>
      <c r="Q302" s="164"/>
      <c r="R302" s="164"/>
      <c r="S302" s="164"/>
      <c r="T302" s="164"/>
      <c r="U302" s="164"/>
      <c r="V302" s="164"/>
      <c r="W302" s="164"/>
      <c r="X302" s="164"/>
      <c r="Y302" s="164"/>
      <c r="Z302" s="164"/>
    </row>
    <row r="303" ht="13.5" customHeight="1">
      <c r="A303" s="164"/>
      <c r="B303" s="164"/>
      <c r="C303" s="164"/>
      <c r="D303" s="164"/>
      <c r="E303" s="164"/>
      <c r="F303" s="164"/>
      <c r="G303" s="164"/>
      <c r="H303" s="164"/>
      <c r="I303" s="164"/>
      <c r="J303" s="164"/>
      <c r="K303" s="164"/>
      <c r="L303" s="164"/>
      <c r="M303" s="164"/>
      <c r="N303" s="164"/>
      <c r="O303" s="164"/>
      <c r="P303" s="164"/>
      <c r="Q303" s="164"/>
      <c r="R303" s="164"/>
      <c r="S303" s="164"/>
      <c r="T303" s="164"/>
      <c r="U303" s="164"/>
      <c r="V303" s="164"/>
      <c r="W303" s="164"/>
      <c r="X303" s="164"/>
      <c r="Y303" s="164"/>
      <c r="Z303" s="164"/>
    </row>
    <row r="304" ht="13.5" customHeight="1">
      <c r="A304" s="164"/>
      <c r="B304" s="164"/>
      <c r="C304" s="164"/>
      <c r="D304" s="164"/>
      <c r="E304" s="164"/>
      <c r="F304" s="164"/>
      <c r="G304" s="164"/>
      <c r="H304" s="164"/>
      <c r="I304" s="164"/>
      <c r="J304" s="164"/>
      <c r="K304" s="164"/>
      <c r="L304" s="164"/>
      <c r="M304" s="164"/>
      <c r="N304" s="164"/>
      <c r="O304" s="164"/>
      <c r="P304" s="164"/>
      <c r="Q304" s="164"/>
      <c r="R304" s="164"/>
      <c r="S304" s="164"/>
      <c r="T304" s="164"/>
      <c r="U304" s="164"/>
      <c r="V304" s="164"/>
      <c r="W304" s="164"/>
      <c r="X304" s="164"/>
      <c r="Y304" s="164"/>
      <c r="Z304" s="164"/>
    </row>
    <row r="305" ht="13.5" customHeight="1">
      <c r="A305" s="164"/>
      <c r="B305" s="164"/>
      <c r="C305" s="164"/>
      <c r="D305" s="164"/>
      <c r="E305" s="164"/>
      <c r="F305" s="164"/>
      <c r="G305" s="164"/>
      <c r="H305" s="164"/>
      <c r="I305" s="164"/>
      <c r="J305" s="164"/>
      <c r="K305" s="164"/>
      <c r="L305" s="164"/>
      <c r="M305" s="164"/>
      <c r="N305" s="164"/>
      <c r="O305" s="164"/>
      <c r="P305" s="164"/>
      <c r="Q305" s="164"/>
      <c r="R305" s="164"/>
      <c r="S305" s="164"/>
      <c r="T305" s="164"/>
      <c r="U305" s="164"/>
      <c r="V305" s="164"/>
      <c r="W305" s="164"/>
      <c r="X305" s="164"/>
      <c r="Y305" s="164"/>
      <c r="Z305" s="164"/>
    </row>
    <row r="306" ht="13.5" customHeight="1">
      <c r="A306" s="164"/>
      <c r="B306" s="164"/>
      <c r="C306" s="164"/>
      <c r="D306" s="164"/>
      <c r="E306" s="164"/>
      <c r="F306" s="164"/>
      <c r="G306" s="164"/>
      <c r="H306" s="164"/>
      <c r="I306" s="164"/>
      <c r="J306" s="164"/>
      <c r="K306" s="164"/>
      <c r="L306" s="164"/>
      <c r="M306" s="164"/>
      <c r="N306" s="164"/>
      <c r="O306" s="164"/>
      <c r="P306" s="164"/>
      <c r="Q306" s="164"/>
      <c r="R306" s="164"/>
      <c r="S306" s="164"/>
      <c r="T306" s="164"/>
      <c r="U306" s="164"/>
      <c r="V306" s="164"/>
      <c r="W306" s="164"/>
      <c r="X306" s="164"/>
      <c r="Y306" s="164"/>
      <c r="Z306" s="164"/>
    </row>
    <row r="307" ht="13.5" customHeight="1">
      <c r="A307" s="164"/>
      <c r="B307" s="164"/>
      <c r="C307" s="164"/>
      <c r="D307" s="164"/>
      <c r="E307" s="164"/>
      <c r="F307" s="164"/>
      <c r="G307" s="164"/>
      <c r="H307" s="164"/>
      <c r="I307" s="164"/>
      <c r="J307" s="164"/>
      <c r="K307" s="164"/>
      <c r="L307" s="164"/>
      <c r="M307" s="164"/>
      <c r="N307" s="164"/>
      <c r="O307" s="164"/>
      <c r="P307" s="164"/>
      <c r="Q307" s="164"/>
      <c r="R307" s="164"/>
      <c r="S307" s="164"/>
      <c r="T307" s="164"/>
      <c r="U307" s="164"/>
      <c r="V307" s="164"/>
      <c r="W307" s="164"/>
      <c r="X307" s="164"/>
      <c r="Y307" s="164"/>
      <c r="Z307" s="164"/>
    </row>
    <row r="308" ht="13.5" customHeight="1">
      <c r="A308" s="164"/>
      <c r="B308" s="164"/>
      <c r="C308" s="164"/>
      <c r="D308" s="164"/>
      <c r="E308" s="164"/>
      <c r="F308" s="164"/>
      <c r="G308" s="164"/>
      <c r="H308" s="164"/>
      <c r="I308" s="164"/>
      <c r="J308" s="164"/>
      <c r="K308" s="164"/>
      <c r="L308" s="164"/>
      <c r="M308" s="164"/>
      <c r="N308" s="164"/>
      <c r="O308" s="164"/>
      <c r="P308" s="164"/>
      <c r="Q308" s="164"/>
      <c r="R308" s="164"/>
      <c r="S308" s="164"/>
      <c r="T308" s="164"/>
      <c r="U308" s="164"/>
      <c r="V308" s="164"/>
      <c r="W308" s="164"/>
      <c r="X308" s="164"/>
      <c r="Y308" s="164"/>
      <c r="Z308" s="164"/>
    </row>
    <row r="309" ht="13.5" customHeight="1">
      <c r="A309" s="164"/>
      <c r="B309" s="164"/>
      <c r="C309" s="164"/>
      <c r="D309" s="164"/>
      <c r="E309" s="164"/>
      <c r="F309" s="164"/>
      <c r="G309" s="164"/>
      <c r="H309" s="164"/>
      <c r="I309" s="164"/>
      <c r="J309" s="164"/>
      <c r="K309" s="164"/>
      <c r="L309" s="164"/>
      <c r="M309" s="164"/>
      <c r="N309" s="164"/>
      <c r="O309" s="164"/>
      <c r="P309" s="164"/>
      <c r="Q309" s="164"/>
      <c r="R309" s="164"/>
      <c r="S309" s="164"/>
      <c r="T309" s="164"/>
      <c r="U309" s="164"/>
      <c r="V309" s="164"/>
      <c r="W309" s="164"/>
      <c r="X309" s="164"/>
      <c r="Y309" s="164"/>
      <c r="Z309" s="164"/>
    </row>
    <row r="310" ht="13.5" customHeight="1">
      <c r="A310" s="164"/>
      <c r="B310" s="164"/>
      <c r="C310" s="164"/>
      <c r="D310" s="164"/>
      <c r="E310" s="164"/>
      <c r="F310" s="164"/>
      <c r="G310" s="164"/>
      <c r="H310" s="164"/>
      <c r="I310" s="164"/>
      <c r="J310" s="164"/>
      <c r="K310" s="164"/>
      <c r="L310" s="164"/>
      <c r="M310" s="164"/>
      <c r="N310" s="164"/>
      <c r="O310" s="164"/>
      <c r="P310" s="164"/>
      <c r="Q310" s="164"/>
      <c r="R310" s="164"/>
      <c r="S310" s="164"/>
      <c r="T310" s="164"/>
      <c r="U310" s="164"/>
      <c r="V310" s="164"/>
      <c r="W310" s="164"/>
      <c r="X310" s="164"/>
      <c r="Y310" s="164"/>
      <c r="Z310" s="164"/>
    </row>
    <row r="311" ht="13.5" customHeight="1">
      <c r="A311" s="164"/>
      <c r="B311" s="164"/>
      <c r="C311" s="164"/>
      <c r="D311" s="164"/>
      <c r="E311" s="164"/>
      <c r="F311" s="164"/>
      <c r="G311" s="164"/>
      <c r="H311" s="164"/>
      <c r="I311" s="164"/>
      <c r="J311" s="164"/>
      <c r="K311" s="164"/>
      <c r="L311" s="164"/>
      <c r="M311" s="164"/>
      <c r="N311" s="164"/>
      <c r="O311" s="164"/>
      <c r="P311" s="164"/>
      <c r="Q311" s="164"/>
      <c r="R311" s="164"/>
      <c r="S311" s="164"/>
      <c r="T311" s="164"/>
      <c r="U311" s="164"/>
      <c r="V311" s="164"/>
      <c r="W311" s="164"/>
      <c r="X311" s="164"/>
      <c r="Y311" s="164"/>
      <c r="Z311" s="164"/>
    </row>
    <row r="312" ht="13.5" customHeight="1">
      <c r="A312" s="164"/>
      <c r="B312" s="164"/>
      <c r="C312" s="164"/>
      <c r="D312" s="164"/>
      <c r="E312" s="164"/>
      <c r="F312" s="164"/>
      <c r="G312" s="164"/>
      <c r="H312" s="164"/>
      <c r="I312" s="164"/>
      <c r="J312" s="164"/>
      <c r="K312" s="164"/>
      <c r="L312" s="164"/>
      <c r="M312" s="164"/>
      <c r="N312" s="164"/>
      <c r="O312" s="164"/>
      <c r="P312" s="164"/>
      <c r="Q312" s="164"/>
      <c r="R312" s="164"/>
      <c r="S312" s="164"/>
      <c r="T312" s="164"/>
      <c r="U312" s="164"/>
      <c r="V312" s="164"/>
      <c r="W312" s="164"/>
      <c r="X312" s="164"/>
      <c r="Y312" s="164"/>
      <c r="Z312" s="164"/>
    </row>
    <row r="313" ht="13.5" customHeight="1">
      <c r="A313" s="164"/>
      <c r="B313" s="164"/>
      <c r="C313" s="164"/>
      <c r="D313" s="164"/>
      <c r="E313" s="164"/>
      <c r="F313" s="164"/>
      <c r="G313" s="164"/>
      <c r="H313" s="164"/>
      <c r="I313" s="164"/>
      <c r="J313" s="164"/>
      <c r="K313" s="164"/>
      <c r="L313" s="164"/>
      <c r="M313" s="164"/>
      <c r="N313" s="164"/>
      <c r="O313" s="164"/>
      <c r="P313" s="164"/>
      <c r="Q313" s="164"/>
      <c r="R313" s="164"/>
      <c r="S313" s="164"/>
      <c r="T313" s="164"/>
      <c r="U313" s="164"/>
      <c r="V313" s="164"/>
      <c r="W313" s="164"/>
      <c r="X313" s="164"/>
      <c r="Y313" s="164"/>
      <c r="Z313" s="164"/>
    </row>
    <row r="314" ht="13.5" customHeight="1">
      <c r="A314" s="164"/>
      <c r="B314" s="164"/>
      <c r="C314" s="164"/>
      <c r="D314" s="164"/>
      <c r="E314" s="164"/>
      <c r="F314" s="164"/>
      <c r="G314" s="164"/>
      <c r="H314" s="164"/>
      <c r="I314" s="164"/>
      <c r="J314" s="164"/>
      <c r="K314" s="164"/>
      <c r="L314" s="164"/>
      <c r="M314" s="164"/>
      <c r="N314" s="164"/>
      <c r="O314" s="164"/>
      <c r="P314" s="164"/>
      <c r="Q314" s="164"/>
      <c r="R314" s="164"/>
      <c r="S314" s="164"/>
      <c r="T314" s="164"/>
      <c r="U314" s="164"/>
      <c r="V314" s="164"/>
      <c r="W314" s="164"/>
      <c r="X314" s="164"/>
      <c r="Y314" s="164"/>
      <c r="Z314" s="164"/>
    </row>
    <row r="315" ht="13.5" customHeight="1">
      <c r="A315" s="164"/>
      <c r="B315" s="164"/>
      <c r="C315" s="164"/>
      <c r="D315" s="164"/>
      <c r="E315" s="164"/>
      <c r="F315" s="164"/>
      <c r="G315" s="164"/>
      <c r="H315" s="164"/>
      <c r="I315" s="164"/>
      <c r="J315" s="164"/>
      <c r="K315" s="164"/>
      <c r="L315" s="164"/>
      <c r="M315" s="164"/>
      <c r="N315" s="164"/>
      <c r="O315" s="164"/>
      <c r="P315" s="164"/>
      <c r="Q315" s="164"/>
      <c r="R315" s="164"/>
      <c r="S315" s="164"/>
      <c r="T315" s="164"/>
      <c r="U315" s="164"/>
      <c r="V315" s="164"/>
      <c r="W315" s="164"/>
      <c r="X315" s="164"/>
      <c r="Y315" s="164"/>
      <c r="Z315" s="164"/>
    </row>
    <row r="316" ht="13.5" customHeight="1">
      <c r="A316" s="164"/>
      <c r="B316" s="164"/>
      <c r="C316" s="164"/>
      <c r="D316" s="164"/>
      <c r="E316" s="164"/>
      <c r="F316" s="164"/>
      <c r="G316" s="164"/>
      <c r="H316" s="164"/>
      <c r="I316" s="164"/>
      <c r="J316" s="164"/>
      <c r="K316" s="164"/>
      <c r="L316" s="164"/>
      <c r="M316" s="164"/>
      <c r="N316" s="164"/>
      <c r="O316" s="164"/>
      <c r="P316" s="164"/>
      <c r="Q316" s="164"/>
      <c r="R316" s="164"/>
      <c r="S316" s="164"/>
      <c r="T316" s="164"/>
      <c r="U316" s="164"/>
      <c r="V316" s="164"/>
      <c r="W316" s="164"/>
      <c r="X316" s="164"/>
      <c r="Y316" s="164"/>
      <c r="Z316" s="164"/>
    </row>
    <row r="317" ht="13.5" customHeight="1">
      <c r="A317" s="164"/>
      <c r="B317" s="164"/>
      <c r="C317" s="164"/>
      <c r="D317" s="164"/>
      <c r="E317" s="164"/>
      <c r="F317" s="164"/>
      <c r="G317" s="164"/>
      <c r="H317" s="164"/>
      <c r="I317" s="164"/>
      <c r="J317" s="164"/>
      <c r="K317" s="164"/>
      <c r="L317" s="164"/>
      <c r="M317" s="164"/>
      <c r="N317" s="164"/>
      <c r="O317" s="164"/>
      <c r="P317" s="164"/>
      <c r="Q317" s="164"/>
      <c r="R317" s="164"/>
      <c r="S317" s="164"/>
      <c r="T317" s="164"/>
      <c r="U317" s="164"/>
      <c r="V317" s="164"/>
      <c r="W317" s="164"/>
      <c r="X317" s="164"/>
      <c r="Y317" s="164"/>
      <c r="Z317" s="164"/>
    </row>
    <row r="318" ht="13.5" customHeight="1">
      <c r="A318" s="164"/>
      <c r="B318" s="164"/>
      <c r="C318" s="164"/>
      <c r="D318" s="164"/>
      <c r="E318" s="164"/>
      <c r="F318" s="164"/>
      <c r="G318" s="164"/>
      <c r="H318" s="164"/>
      <c r="I318" s="164"/>
      <c r="J318" s="164"/>
      <c r="K318" s="164"/>
      <c r="L318" s="164"/>
      <c r="M318" s="164"/>
      <c r="N318" s="164"/>
      <c r="O318" s="164"/>
      <c r="P318" s="164"/>
      <c r="Q318" s="164"/>
      <c r="R318" s="164"/>
      <c r="S318" s="164"/>
      <c r="T318" s="164"/>
      <c r="U318" s="164"/>
      <c r="V318" s="164"/>
      <c r="W318" s="164"/>
      <c r="X318" s="164"/>
      <c r="Y318" s="164"/>
      <c r="Z318" s="164"/>
    </row>
    <row r="319" ht="13.5" customHeight="1">
      <c r="A319" s="164"/>
      <c r="B319" s="164"/>
      <c r="C319" s="164"/>
      <c r="D319" s="164"/>
      <c r="E319" s="164"/>
      <c r="F319" s="164"/>
      <c r="G319" s="164"/>
      <c r="H319" s="164"/>
      <c r="I319" s="164"/>
      <c r="J319" s="164"/>
      <c r="K319" s="164"/>
      <c r="L319" s="164"/>
      <c r="M319" s="164"/>
      <c r="N319" s="164"/>
      <c r="O319" s="164"/>
      <c r="P319" s="164"/>
      <c r="Q319" s="164"/>
      <c r="R319" s="164"/>
      <c r="S319" s="164"/>
      <c r="T319" s="164"/>
      <c r="U319" s="164"/>
      <c r="V319" s="164"/>
      <c r="W319" s="164"/>
      <c r="X319" s="164"/>
      <c r="Y319" s="164"/>
      <c r="Z319" s="164"/>
    </row>
    <row r="320" ht="13.5" customHeight="1">
      <c r="A320" s="164"/>
      <c r="B320" s="164"/>
      <c r="C320" s="164"/>
      <c r="D320" s="164"/>
      <c r="E320" s="164"/>
      <c r="F320" s="164"/>
      <c r="G320" s="164"/>
      <c r="H320" s="164"/>
      <c r="I320" s="164"/>
      <c r="J320" s="164"/>
      <c r="K320" s="164"/>
      <c r="L320" s="164"/>
      <c r="M320" s="164"/>
      <c r="N320" s="164"/>
      <c r="O320" s="164"/>
      <c r="P320" s="164"/>
      <c r="Q320" s="164"/>
      <c r="R320" s="164"/>
      <c r="S320" s="164"/>
      <c r="T320" s="164"/>
      <c r="U320" s="164"/>
      <c r="V320" s="164"/>
      <c r="W320" s="164"/>
      <c r="X320" s="164"/>
      <c r="Y320" s="164"/>
      <c r="Z320" s="164"/>
    </row>
    <row r="321" ht="13.5" customHeight="1">
      <c r="A321" s="164"/>
      <c r="B321" s="164"/>
      <c r="C321" s="164"/>
      <c r="D321" s="164"/>
      <c r="E321" s="164"/>
      <c r="F321" s="164"/>
      <c r="G321" s="164"/>
      <c r="H321" s="164"/>
      <c r="I321" s="164"/>
      <c r="J321" s="164"/>
      <c r="K321" s="164"/>
      <c r="L321" s="164"/>
      <c r="M321" s="164"/>
      <c r="N321" s="164"/>
      <c r="O321" s="164"/>
      <c r="P321" s="164"/>
      <c r="Q321" s="164"/>
      <c r="R321" s="164"/>
      <c r="S321" s="164"/>
      <c r="T321" s="164"/>
      <c r="U321" s="164"/>
      <c r="V321" s="164"/>
      <c r="W321" s="164"/>
      <c r="X321" s="164"/>
      <c r="Y321" s="164"/>
      <c r="Z321" s="164"/>
    </row>
    <row r="322" ht="13.5" customHeight="1">
      <c r="A322" s="164"/>
      <c r="B322" s="164"/>
      <c r="C322" s="164"/>
      <c r="D322" s="164"/>
      <c r="E322" s="164"/>
      <c r="F322" s="164"/>
      <c r="G322" s="164"/>
      <c r="H322" s="164"/>
      <c r="I322" s="164"/>
      <c r="J322" s="164"/>
      <c r="K322" s="164"/>
      <c r="L322" s="164"/>
      <c r="M322" s="164"/>
      <c r="N322" s="164"/>
      <c r="O322" s="164"/>
      <c r="P322" s="164"/>
      <c r="Q322" s="164"/>
      <c r="R322" s="164"/>
      <c r="S322" s="164"/>
      <c r="T322" s="164"/>
      <c r="U322" s="164"/>
      <c r="V322" s="164"/>
      <c r="W322" s="164"/>
      <c r="X322" s="164"/>
      <c r="Y322" s="164"/>
      <c r="Z322" s="164"/>
    </row>
    <row r="323" ht="13.5" customHeight="1">
      <c r="A323" s="164"/>
      <c r="B323" s="164"/>
      <c r="C323" s="164"/>
      <c r="D323" s="164"/>
      <c r="E323" s="164"/>
      <c r="F323" s="164"/>
      <c r="G323" s="164"/>
      <c r="H323" s="164"/>
      <c r="I323" s="164"/>
      <c r="J323" s="164"/>
      <c r="K323" s="164"/>
      <c r="L323" s="164"/>
      <c r="M323" s="164"/>
      <c r="N323" s="164"/>
      <c r="O323" s="164"/>
      <c r="P323" s="164"/>
      <c r="Q323" s="164"/>
      <c r="R323" s="164"/>
      <c r="S323" s="164"/>
      <c r="T323" s="164"/>
      <c r="U323" s="164"/>
      <c r="V323" s="164"/>
      <c r="W323" s="164"/>
      <c r="X323" s="164"/>
      <c r="Y323" s="164"/>
      <c r="Z323" s="164"/>
    </row>
    <row r="324" ht="13.5" customHeight="1">
      <c r="A324" s="164"/>
      <c r="B324" s="164"/>
      <c r="C324" s="164"/>
      <c r="D324" s="164"/>
      <c r="E324" s="164"/>
      <c r="F324" s="164"/>
      <c r="G324" s="164"/>
      <c r="H324" s="164"/>
      <c r="I324" s="164"/>
      <c r="J324" s="164"/>
      <c r="K324" s="164"/>
      <c r="L324" s="164"/>
      <c r="M324" s="164"/>
      <c r="N324" s="164"/>
      <c r="O324" s="164"/>
      <c r="P324" s="164"/>
      <c r="Q324" s="164"/>
      <c r="R324" s="164"/>
      <c r="S324" s="164"/>
      <c r="T324" s="164"/>
      <c r="U324" s="164"/>
      <c r="V324" s="164"/>
      <c r="W324" s="164"/>
      <c r="X324" s="164"/>
      <c r="Y324" s="164"/>
      <c r="Z324" s="164"/>
    </row>
    <row r="325" ht="13.5" customHeight="1">
      <c r="A325" s="164"/>
      <c r="B325" s="164"/>
      <c r="C325" s="164"/>
      <c r="D325" s="164"/>
      <c r="E325" s="164"/>
      <c r="F325" s="164"/>
      <c r="G325" s="164"/>
      <c r="H325" s="164"/>
      <c r="I325" s="164"/>
      <c r="J325" s="164"/>
      <c r="K325" s="164"/>
      <c r="L325" s="164"/>
      <c r="M325" s="164"/>
      <c r="N325" s="164"/>
      <c r="O325" s="164"/>
      <c r="P325" s="164"/>
      <c r="Q325" s="164"/>
      <c r="R325" s="164"/>
      <c r="S325" s="164"/>
      <c r="T325" s="164"/>
      <c r="U325" s="164"/>
      <c r="V325" s="164"/>
      <c r="W325" s="164"/>
      <c r="X325" s="164"/>
      <c r="Y325" s="164"/>
      <c r="Z325" s="164"/>
    </row>
    <row r="326" ht="13.5" customHeight="1">
      <c r="A326" s="164"/>
      <c r="B326" s="164"/>
      <c r="C326" s="164"/>
      <c r="D326" s="164"/>
      <c r="E326" s="164"/>
      <c r="F326" s="164"/>
      <c r="G326" s="164"/>
      <c r="H326" s="164"/>
      <c r="I326" s="164"/>
      <c r="J326" s="164"/>
      <c r="K326" s="164"/>
      <c r="L326" s="164"/>
      <c r="M326" s="164"/>
      <c r="N326" s="164"/>
      <c r="O326" s="164"/>
      <c r="P326" s="164"/>
      <c r="Q326" s="164"/>
      <c r="R326" s="164"/>
      <c r="S326" s="164"/>
      <c r="T326" s="164"/>
      <c r="U326" s="164"/>
      <c r="V326" s="164"/>
      <c r="W326" s="164"/>
      <c r="X326" s="164"/>
      <c r="Y326" s="164"/>
      <c r="Z326" s="164"/>
    </row>
    <row r="327" ht="13.5" customHeight="1">
      <c r="A327" s="164"/>
      <c r="B327" s="164"/>
      <c r="C327" s="164"/>
      <c r="D327" s="164"/>
      <c r="E327" s="164"/>
      <c r="F327" s="164"/>
      <c r="G327" s="164"/>
      <c r="H327" s="164"/>
      <c r="I327" s="164"/>
      <c r="J327" s="164"/>
      <c r="K327" s="164"/>
      <c r="L327" s="164"/>
      <c r="M327" s="164"/>
      <c r="N327" s="164"/>
      <c r="O327" s="164"/>
      <c r="P327" s="164"/>
      <c r="Q327" s="164"/>
      <c r="R327" s="164"/>
      <c r="S327" s="164"/>
      <c r="T327" s="164"/>
      <c r="U327" s="164"/>
      <c r="V327" s="164"/>
      <c r="W327" s="164"/>
      <c r="X327" s="164"/>
      <c r="Y327" s="164"/>
      <c r="Z327" s="164"/>
    </row>
    <row r="328" ht="13.5" customHeight="1">
      <c r="A328" s="164"/>
      <c r="B328" s="164"/>
      <c r="C328" s="164"/>
      <c r="D328" s="164"/>
      <c r="E328" s="164"/>
      <c r="F328" s="164"/>
      <c r="G328" s="164"/>
      <c r="H328" s="164"/>
      <c r="I328" s="164"/>
      <c r="J328" s="164"/>
      <c r="K328" s="164"/>
      <c r="L328" s="164"/>
      <c r="M328" s="164"/>
      <c r="N328" s="164"/>
      <c r="O328" s="164"/>
      <c r="P328" s="164"/>
      <c r="Q328" s="164"/>
      <c r="R328" s="164"/>
      <c r="S328" s="164"/>
      <c r="T328" s="164"/>
      <c r="U328" s="164"/>
      <c r="V328" s="164"/>
      <c r="W328" s="164"/>
      <c r="X328" s="164"/>
      <c r="Y328" s="164"/>
      <c r="Z328" s="164"/>
    </row>
    <row r="329" ht="13.5" customHeight="1">
      <c r="A329" s="164"/>
      <c r="B329" s="164"/>
      <c r="C329" s="164"/>
      <c r="D329" s="164"/>
      <c r="E329" s="164"/>
      <c r="F329" s="164"/>
      <c r="G329" s="164"/>
      <c r="H329" s="164"/>
      <c r="I329" s="164"/>
      <c r="J329" s="164"/>
      <c r="K329" s="164"/>
      <c r="L329" s="164"/>
      <c r="M329" s="164"/>
      <c r="N329" s="164"/>
      <c r="O329" s="164"/>
      <c r="P329" s="164"/>
      <c r="Q329" s="164"/>
      <c r="R329" s="164"/>
      <c r="S329" s="164"/>
      <c r="T329" s="164"/>
      <c r="U329" s="164"/>
      <c r="V329" s="164"/>
      <c r="W329" s="164"/>
      <c r="X329" s="164"/>
      <c r="Y329" s="164"/>
      <c r="Z329" s="164"/>
    </row>
    <row r="330" ht="13.5" customHeight="1">
      <c r="A330" s="164"/>
      <c r="B330" s="164"/>
      <c r="C330" s="164"/>
      <c r="D330" s="164"/>
      <c r="E330" s="164"/>
      <c r="F330" s="164"/>
      <c r="G330" s="164"/>
      <c r="H330" s="164"/>
      <c r="I330" s="164"/>
      <c r="J330" s="164"/>
      <c r="K330" s="164"/>
      <c r="L330" s="164"/>
      <c r="M330" s="164"/>
      <c r="N330" s="164"/>
      <c r="O330" s="164"/>
      <c r="P330" s="164"/>
      <c r="Q330" s="164"/>
      <c r="R330" s="164"/>
      <c r="S330" s="164"/>
      <c r="T330" s="164"/>
      <c r="U330" s="164"/>
      <c r="V330" s="164"/>
      <c r="W330" s="164"/>
      <c r="X330" s="164"/>
      <c r="Y330" s="164"/>
      <c r="Z330" s="164"/>
    </row>
    <row r="331" ht="13.5" customHeight="1">
      <c r="A331" s="164"/>
      <c r="B331" s="164"/>
      <c r="C331" s="164"/>
      <c r="D331" s="164"/>
      <c r="E331" s="164"/>
      <c r="F331" s="164"/>
      <c r="G331" s="164"/>
      <c r="H331" s="164"/>
      <c r="I331" s="164"/>
      <c r="J331" s="164"/>
      <c r="K331" s="164"/>
      <c r="L331" s="164"/>
      <c r="M331" s="164"/>
      <c r="N331" s="164"/>
      <c r="O331" s="164"/>
      <c r="P331" s="164"/>
      <c r="Q331" s="164"/>
      <c r="R331" s="164"/>
      <c r="S331" s="164"/>
      <c r="T331" s="164"/>
      <c r="U331" s="164"/>
      <c r="V331" s="164"/>
      <c r="W331" s="164"/>
      <c r="X331" s="164"/>
      <c r="Y331" s="164"/>
      <c r="Z331" s="164"/>
    </row>
    <row r="332" ht="13.5" customHeight="1">
      <c r="A332" s="164"/>
      <c r="B332" s="164"/>
      <c r="C332" s="164"/>
      <c r="D332" s="164"/>
      <c r="E332" s="164"/>
      <c r="F332" s="164"/>
      <c r="G332" s="164"/>
      <c r="H332" s="164"/>
      <c r="I332" s="164"/>
      <c r="J332" s="164"/>
      <c r="K332" s="164"/>
      <c r="L332" s="164"/>
      <c r="M332" s="164"/>
      <c r="N332" s="164"/>
      <c r="O332" s="164"/>
      <c r="P332" s="164"/>
      <c r="Q332" s="164"/>
      <c r="R332" s="164"/>
      <c r="S332" s="164"/>
      <c r="T332" s="164"/>
      <c r="U332" s="164"/>
      <c r="V332" s="164"/>
      <c r="W332" s="164"/>
      <c r="X332" s="164"/>
      <c r="Y332" s="164"/>
      <c r="Z332" s="164"/>
    </row>
    <row r="333" ht="13.5" customHeight="1">
      <c r="A333" s="164"/>
      <c r="B333" s="164"/>
      <c r="C333" s="164"/>
      <c r="D333" s="164"/>
      <c r="E333" s="164"/>
      <c r="F333" s="164"/>
      <c r="G333" s="164"/>
      <c r="H333" s="164"/>
      <c r="I333" s="164"/>
      <c r="J333" s="164"/>
      <c r="K333" s="164"/>
      <c r="L333" s="164"/>
      <c r="M333" s="164"/>
      <c r="N333" s="164"/>
      <c r="O333" s="164"/>
      <c r="P333" s="164"/>
      <c r="Q333" s="164"/>
      <c r="R333" s="164"/>
      <c r="S333" s="164"/>
      <c r="T333" s="164"/>
      <c r="U333" s="164"/>
      <c r="V333" s="164"/>
      <c r="W333" s="164"/>
      <c r="X333" s="164"/>
      <c r="Y333" s="164"/>
      <c r="Z333" s="164"/>
    </row>
    <row r="334" ht="13.5" customHeight="1">
      <c r="A334" s="164"/>
      <c r="B334" s="164"/>
      <c r="C334" s="164"/>
      <c r="D334" s="164"/>
      <c r="E334" s="164"/>
      <c r="F334" s="164"/>
      <c r="G334" s="164"/>
      <c r="H334" s="164"/>
      <c r="I334" s="164"/>
      <c r="J334" s="164"/>
      <c r="K334" s="164"/>
      <c r="L334" s="164"/>
      <c r="M334" s="164"/>
      <c r="N334" s="164"/>
      <c r="O334" s="164"/>
      <c r="P334" s="164"/>
      <c r="Q334" s="164"/>
      <c r="R334" s="164"/>
      <c r="S334" s="164"/>
      <c r="T334" s="164"/>
      <c r="U334" s="164"/>
      <c r="V334" s="164"/>
      <c r="W334" s="164"/>
      <c r="X334" s="164"/>
      <c r="Y334" s="164"/>
      <c r="Z334" s="164"/>
    </row>
    <row r="335" ht="13.5" customHeight="1">
      <c r="A335" s="164"/>
      <c r="B335" s="164"/>
      <c r="C335" s="164"/>
      <c r="D335" s="164"/>
      <c r="E335" s="164"/>
      <c r="F335" s="164"/>
      <c r="G335" s="164"/>
      <c r="H335" s="164"/>
      <c r="I335" s="164"/>
      <c r="J335" s="164"/>
      <c r="K335" s="164"/>
      <c r="L335" s="164"/>
      <c r="M335" s="164"/>
      <c r="N335" s="164"/>
      <c r="O335" s="164"/>
      <c r="P335" s="164"/>
      <c r="Q335" s="164"/>
      <c r="R335" s="164"/>
      <c r="S335" s="164"/>
      <c r="T335" s="164"/>
      <c r="U335" s="164"/>
      <c r="V335" s="164"/>
      <c r="W335" s="164"/>
      <c r="X335" s="164"/>
      <c r="Y335" s="164"/>
      <c r="Z335" s="164"/>
    </row>
    <row r="336" ht="13.5" customHeight="1">
      <c r="A336" s="164"/>
      <c r="B336" s="164"/>
      <c r="C336" s="164"/>
      <c r="D336" s="164"/>
      <c r="E336" s="164"/>
      <c r="F336" s="164"/>
      <c r="G336" s="164"/>
      <c r="H336" s="164"/>
      <c r="I336" s="164"/>
      <c r="J336" s="164"/>
      <c r="K336" s="164"/>
      <c r="L336" s="164"/>
      <c r="M336" s="164"/>
      <c r="N336" s="164"/>
      <c r="O336" s="164"/>
      <c r="P336" s="164"/>
      <c r="Q336" s="164"/>
      <c r="R336" s="164"/>
      <c r="S336" s="164"/>
      <c r="T336" s="164"/>
      <c r="U336" s="164"/>
      <c r="V336" s="164"/>
      <c r="W336" s="164"/>
      <c r="X336" s="164"/>
      <c r="Y336" s="164"/>
      <c r="Z336" s="164"/>
    </row>
    <row r="337" ht="13.5" customHeight="1">
      <c r="A337" s="164"/>
      <c r="B337" s="164"/>
      <c r="C337" s="164"/>
      <c r="D337" s="164"/>
      <c r="E337" s="164"/>
      <c r="F337" s="164"/>
      <c r="G337" s="164"/>
      <c r="H337" s="164"/>
      <c r="I337" s="164"/>
      <c r="J337" s="164"/>
      <c r="K337" s="164"/>
      <c r="L337" s="164"/>
      <c r="M337" s="164"/>
      <c r="N337" s="164"/>
      <c r="O337" s="164"/>
      <c r="P337" s="164"/>
      <c r="Q337" s="164"/>
      <c r="R337" s="164"/>
      <c r="S337" s="164"/>
      <c r="T337" s="164"/>
      <c r="U337" s="164"/>
      <c r="V337" s="164"/>
      <c r="W337" s="164"/>
      <c r="X337" s="164"/>
      <c r="Y337" s="164"/>
      <c r="Z337" s="164"/>
    </row>
    <row r="338" ht="13.5" customHeight="1">
      <c r="A338" s="164"/>
      <c r="B338" s="164"/>
      <c r="C338" s="164"/>
      <c r="D338" s="164"/>
      <c r="E338" s="164"/>
      <c r="F338" s="164"/>
      <c r="G338" s="164"/>
      <c r="H338" s="164"/>
      <c r="I338" s="164"/>
      <c r="J338" s="164"/>
      <c r="K338" s="164"/>
      <c r="L338" s="164"/>
      <c r="M338" s="164"/>
      <c r="N338" s="164"/>
      <c r="O338" s="164"/>
      <c r="P338" s="164"/>
      <c r="Q338" s="164"/>
      <c r="R338" s="164"/>
      <c r="S338" s="164"/>
      <c r="T338" s="164"/>
      <c r="U338" s="164"/>
      <c r="V338" s="164"/>
      <c r="W338" s="164"/>
      <c r="X338" s="164"/>
      <c r="Y338" s="164"/>
      <c r="Z338" s="164"/>
    </row>
    <row r="339" ht="13.5" customHeight="1">
      <c r="A339" s="164"/>
      <c r="B339" s="164"/>
      <c r="C339" s="164"/>
      <c r="D339" s="164"/>
      <c r="E339" s="164"/>
      <c r="F339" s="164"/>
      <c r="G339" s="164"/>
      <c r="H339" s="164"/>
      <c r="I339" s="164"/>
      <c r="J339" s="164"/>
      <c r="K339" s="164"/>
      <c r="L339" s="164"/>
      <c r="M339" s="164"/>
      <c r="N339" s="164"/>
      <c r="O339" s="164"/>
      <c r="P339" s="164"/>
      <c r="Q339" s="164"/>
      <c r="R339" s="164"/>
      <c r="S339" s="164"/>
      <c r="T339" s="164"/>
      <c r="U339" s="164"/>
      <c r="V339" s="164"/>
      <c r="W339" s="164"/>
      <c r="X339" s="164"/>
      <c r="Y339" s="164"/>
      <c r="Z339" s="164"/>
    </row>
    <row r="340" ht="13.5" customHeight="1">
      <c r="A340" s="164"/>
      <c r="B340" s="164"/>
      <c r="C340" s="164"/>
      <c r="D340" s="164"/>
      <c r="E340" s="164"/>
      <c r="F340" s="164"/>
      <c r="G340" s="164"/>
      <c r="H340" s="164"/>
      <c r="I340" s="164"/>
      <c r="J340" s="164"/>
      <c r="K340" s="164"/>
      <c r="L340" s="164"/>
      <c r="M340" s="164"/>
      <c r="N340" s="164"/>
      <c r="O340" s="164"/>
      <c r="P340" s="164"/>
      <c r="Q340" s="164"/>
      <c r="R340" s="164"/>
      <c r="S340" s="164"/>
      <c r="T340" s="164"/>
      <c r="U340" s="164"/>
      <c r="V340" s="164"/>
      <c r="W340" s="164"/>
      <c r="X340" s="164"/>
      <c r="Y340" s="164"/>
      <c r="Z340" s="164"/>
    </row>
    <row r="341" ht="13.5" customHeight="1">
      <c r="A341" s="164"/>
      <c r="B341" s="164"/>
      <c r="C341" s="164"/>
      <c r="D341" s="164"/>
      <c r="E341" s="164"/>
      <c r="F341" s="164"/>
      <c r="G341" s="164"/>
      <c r="H341" s="164"/>
      <c r="I341" s="164"/>
      <c r="J341" s="164"/>
      <c r="K341" s="164"/>
      <c r="L341" s="164"/>
      <c r="M341" s="164"/>
      <c r="N341" s="164"/>
      <c r="O341" s="164"/>
      <c r="P341" s="164"/>
      <c r="Q341" s="164"/>
      <c r="R341" s="164"/>
      <c r="S341" s="164"/>
      <c r="T341" s="164"/>
      <c r="U341" s="164"/>
      <c r="V341" s="164"/>
      <c r="W341" s="164"/>
      <c r="X341" s="164"/>
      <c r="Y341" s="164"/>
      <c r="Z341" s="164"/>
    </row>
    <row r="342" ht="13.5" customHeight="1">
      <c r="A342" s="164"/>
      <c r="B342" s="164"/>
      <c r="C342" s="164"/>
      <c r="D342" s="164"/>
      <c r="E342" s="164"/>
      <c r="F342" s="164"/>
      <c r="G342" s="164"/>
      <c r="H342" s="164"/>
      <c r="I342" s="164"/>
      <c r="J342" s="164"/>
      <c r="K342" s="164"/>
      <c r="L342" s="164"/>
      <c r="M342" s="164"/>
      <c r="N342" s="164"/>
      <c r="O342" s="164"/>
      <c r="P342" s="164"/>
      <c r="Q342" s="164"/>
      <c r="R342" s="164"/>
      <c r="S342" s="164"/>
      <c r="T342" s="164"/>
      <c r="U342" s="164"/>
      <c r="V342" s="164"/>
      <c r="W342" s="164"/>
      <c r="X342" s="164"/>
      <c r="Y342" s="164"/>
      <c r="Z342" s="164"/>
    </row>
    <row r="343" ht="13.5" customHeight="1">
      <c r="A343" s="164"/>
      <c r="B343" s="164"/>
      <c r="C343" s="164"/>
      <c r="D343" s="164"/>
      <c r="E343" s="164"/>
      <c r="F343" s="164"/>
      <c r="G343" s="164"/>
      <c r="H343" s="164"/>
      <c r="I343" s="164"/>
      <c r="J343" s="164"/>
      <c r="K343" s="164"/>
      <c r="L343" s="164"/>
      <c r="M343" s="164"/>
      <c r="N343" s="164"/>
      <c r="O343" s="164"/>
      <c r="P343" s="164"/>
      <c r="Q343" s="164"/>
      <c r="R343" s="164"/>
      <c r="S343" s="164"/>
      <c r="T343" s="164"/>
      <c r="U343" s="164"/>
      <c r="V343" s="164"/>
      <c r="W343" s="164"/>
      <c r="X343" s="164"/>
      <c r="Y343" s="164"/>
      <c r="Z343" s="164"/>
    </row>
    <row r="344" ht="13.5" customHeight="1">
      <c r="A344" s="164"/>
      <c r="B344" s="164"/>
      <c r="C344" s="164"/>
      <c r="D344" s="164"/>
      <c r="E344" s="164"/>
      <c r="F344" s="164"/>
      <c r="G344" s="164"/>
      <c r="H344" s="164"/>
      <c r="I344" s="164"/>
      <c r="J344" s="164"/>
      <c r="K344" s="164"/>
      <c r="L344" s="164"/>
      <c r="M344" s="164"/>
      <c r="N344" s="164"/>
      <c r="O344" s="164"/>
      <c r="P344" s="164"/>
      <c r="Q344" s="164"/>
      <c r="R344" s="164"/>
      <c r="S344" s="164"/>
      <c r="T344" s="164"/>
      <c r="U344" s="164"/>
      <c r="V344" s="164"/>
      <c r="W344" s="164"/>
      <c r="X344" s="164"/>
      <c r="Y344" s="164"/>
      <c r="Z344" s="164"/>
    </row>
    <row r="345" ht="13.5" customHeight="1">
      <c r="A345" s="164"/>
      <c r="B345" s="164"/>
      <c r="C345" s="164"/>
      <c r="D345" s="164"/>
      <c r="E345" s="164"/>
      <c r="F345" s="164"/>
      <c r="G345" s="164"/>
      <c r="H345" s="164"/>
      <c r="I345" s="164"/>
      <c r="J345" s="164"/>
      <c r="K345" s="164"/>
      <c r="L345" s="164"/>
      <c r="M345" s="164"/>
      <c r="N345" s="164"/>
      <c r="O345" s="164"/>
      <c r="P345" s="164"/>
      <c r="Q345" s="164"/>
      <c r="R345" s="164"/>
      <c r="S345" s="164"/>
      <c r="T345" s="164"/>
      <c r="U345" s="164"/>
      <c r="V345" s="164"/>
      <c r="W345" s="164"/>
      <c r="X345" s="164"/>
      <c r="Y345" s="164"/>
      <c r="Z345" s="164"/>
    </row>
    <row r="346" ht="13.5" customHeight="1">
      <c r="A346" s="164"/>
      <c r="B346" s="164"/>
      <c r="C346" s="164"/>
      <c r="D346" s="164"/>
      <c r="E346" s="164"/>
      <c r="F346" s="164"/>
      <c r="G346" s="164"/>
      <c r="H346" s="164"/>
      <c r="I346" s="164"/>
      <c r="J346" s="164"/>
      <c r="K346" s="164"/>
      <c r="L346" s="164"/>
      <c r="M346" s="164"/>
      <c r="N346" s="164"/>
      <c r="O346" s="164"/>
      <c r="P346" s="164"/>
      <c r="Q346" s="164"/>
      <c r="R346" s="164"/>
      <c r="S346" s="164"/>
      <c r="T346" s="164"/>
      <c r="U346" s="164"/>
      <c r="V346" s="164"/>
      <c r="W346" s="164"/>
      <c r="X346" s="164"/>
      <c r="Y346" s="164"/>
      <c r="Z346" s="164"/>
    </row>
    <row r="347" ht="13.5" customHeight="1">
      <c r="A347" s="164"/>
      <c r="B347" s="164"/>
      <c r="C347" s="164"/>
      <c r="D347" s="164"/>
      <c r="E347" s="164"/>
      <c r="F347" s="164"/>
      <c r="G347" s="164"/>
      <c r="H347" s="164"/>
      <c r="I347" s="164"/>
      <c r="J347" s="164"/>
      <c r="K347" s="164"/>
      <c r="L347" s="164"/>
      <c r="M347" s="164"/>
      <c r="N347" s="164"/>
      <c r="O347" s="164"/>
      <c r="P347" s="164"/>
      <c r="Q347" s="164"/>
      <c r="R347" s="164"/>
      <c r="S347" s="164"/>
      <c r="T347" s="164"/>
      <c r="U347" s="164"/>
      <c r="V347" s="164"/>
      <c r="W347" s="164"/>
      <c r="X347" s="164"/>
      <c r="Y347" s="164"/>
      <c r="Z347" s="164"/>
    </row>
    <row r="348" ht="13.5" customHeight="1">
      <c r="A348" s="164"/>
      <c r="B348" s="164"/>
      <c r="C348" s="164"/>
      <c r="D348" s="164"/>
      <c r="E348" s="164"/>
      <c r="F348" s="164"/>
      <c r="G348" s="164"/>
      <c r="H348" s="164"/>
      <c r="I348" s="164"/>
      <c r="J348" s="164"/>
      <c r="K348" s="164"/>
      <c r="L348" s="164"/>
      <c r="M348" s="164"/>
      <c r="N348" s="164"/>
      <c r="O348" s="164"/>
      <c r="P348" s="164"/>
      <c r="Q348" s="164"/>
      <c r="R348" s="164"/>
      <c r="S348" s="164"/>
      <c r="T348" s="164"/>
      <c r="U348" s="164"/>
      <c r="V348" s="164"/>
      <c r="W348" s="164"/>
      <c r="X348" s="164"/>
      <c r="Y348" s="164"/>
      <c r="Z348" s="164"/>
    </row>
    <row r="349" ht="13.5" customHeight="1">
      <c r="A349" s="164"/>
      <c r="B349" s="164"/>
      <c r="C349" s="164"/>
      <c r="D349" s="164"/>
      <c r="E349" s="164"/>
      <c r="F349" s="164"/>
      <c r="G349" s="164"/>
      <c r="H349" s="164"/>
      <c r="I349" s="164"/>
      <c r="J349" s="164"/>
      <c r="K349" s="164"/>
      <c r="L349" s="164"/>
      <c r="M349" s="164"/>
      <c r="N349" s="164"/>
      <c r="O349" s="164"/>
      <c r="P349" s="164"/>
      <c r="Q349" s="164"/>
      <c r="R349" s="164"/>
      <c r="S349" s="164"/>
      <c r="T349" s="164"/>
      <c r="U349" s="164"/>
      <c r="V349" s="164"/>
      <c r="W349" s="164"/>
      <c r="X349" s="164"/>
      <c r="Y349" s="164"/>
      <c r="Z349" s="164"/>
    </row>
    <row r="350" ht="13.5" customHeight="1">
      <c r="A350" s="164"/>
      <c r="B350" s="164"/>
      <c r="C350" s="164"/>
      <c r="D350" s="164"/>
      <c r="E350" s="164"/>
      <c r="F350" s="164"/>
      <c r="G350" s="164"/>
      <c r="H350" s="164"/>
      <c r="I350" s="164"/>
      <c r="J350" s="164"/>
      <c r="K350" s="164"/>
      <c r="L350" s="164"/>
      <c r="M350" s="164"/>
      <c r="N350" s="164"/>
      <c r="O350" s="164"/>
      <c r="P350" s="164"/>
      <c r="Q350" s="164"/>
      <c r="R350" s="164"/>
      <c r="S350" s="164"/>
      <c r="T350" s="164"/>
      <c r="U350" s="164"/>
      <c r="V350" s="164"/>
      <c r="W350" s="164"/>
      <c r="X350" s="164"/>
      <c r="Y350" s="164"/>
      <c r="Z350" s="164"/>
    </row>
    <row r="351" ht="13.5" customHeight="1">
      <c r="A351" s="164"/>
      <c r="B351" s="164"/>
      <c r="C351" s="164"/>
      <c r="D351" s="164"/>
      <c r="E351" s="164"/>
      <c r="F351" s="164"/>
      <c r="G351" s="164"/>
      <c r="H351" s="164"/>
      <c r="I351" s="164"/>
      <c r="J351" s="164"/>
      <c r="K351" s="164"/>
      <c r="L351" s="164"/>
      <c r="M351" s="164"/>
      <c r="N351" s="164"/>
      <c r="O351" s="164"/>
      <c r="P351" s="164"/>
      <c r="Q351" s="164"/>
      <c r="R351" s="164"/>
      <c r="S351" s="164"/>
      <c r="T351" s="164"/>
      <c r="U351" s="164"/>
      <c r="V351" s="164"/>
      <c r="W351" s="164"/>
      <c r="X351" s="164"/>
      <c r="Y351" s="164"/>
      <c r="Z351" s="164"/>
    </row>
    <row r="352" ht="13.5" customHeight="1">
      <c r="A352" s="164"/>
      <c r="B352" s="164"/>
      <c r="C352" s="164"/>
      <c r="D352" s="164"/>
      <c r="E352" s="164"/>
      <c r="F352" s="164"/>
      <c r="G352" s="164"/>
      <c r="H352" s="164"/>
      <c r="I352" s="164"/>
      <c r="J352" s="164"/>
      <c r="K352" s="164"/>
      <c r="L352" s="164"/>
      <c r="M352" s="164"/>
      <c r="N352" s="164"/>
      <c r="O352" s="164"/>
      <c r="P352" s="164"/>
      <c r="Q352" s="164"/>
      <c r="R352" s="164"/>
      <c r="S352" s="164"/>
      <c r="T352" s="164"/>
      <c r="U352" s="164"/>
      <c r="V352" s="164"/>
      <c r="W352" s="164"/>
      <c r="X352" s="164"/>
      <c r="Y352" s="164"/>
      <c r="Z352" s="164"/>
    </row>
    <row r="353" ht="13.5" customHeight="1">
      <c r="A353" s="164"/>
      <c r="B353" s="164"/>
      <c r="C353" s="164"/>
      <c r="D353" s="164"/>
      <c r="E353" s="164"/>
      <c r="F353" s="164"/>
      <c r="G353" s="164"/>
      <c r="H353" s="164"/>
      <c r="I353" s="164"/>
      <c r="J353" s="164"/>
      <c r="K353" s="164"/>
      <c r="L353" s="164"/>
      <c r="M353" s="164"/>
      <c r="N353" s="164"/>
      <c r="O353" s="164"/>
      <c r="P353" s="164"/>
      <c r="Q353" s="164"/>
      <c r="R353" s="164"/>
      <c r="S353" s="164"/>
      <c r="T353" s="164"/>
      <c r="U353" s="164"/>
      <c r="V353" s="164"/>
      <c r="W353" s="164"/>
      <c r="X353" s="164"/>
      <c r="Y353" s="164"/>
      <c r="Z353" s="164"/>
    </row>
    <row r="354" ht="13.5" customHeight="1">
      <c r="A354" s="164"/>
      <c r="B354" s="164"/>
      <c r="C354" s="164"/>
      <c r="D354" s="164"/>
      <c r="E354" s="164"/>
      <c r="F354" s="164"/>
      <c r="G354" s="164"/>
      <c r="H354" s="164"/>
      <c r="I354" s="164"/>
      <c r="J354" s="164"/>
      <c r="K354" s="164"/>
      <c r="L354" s="164"/>
      <c r="M354" s="164"/>
      <c r="N354" s="164"/>
      <c r="O354" s="164"/>
      <c r="P354" s="164"/>
      <c r="Q354" s="164"/>
      <c r="R354" s="164"/>
      <c r="S354" s="164"/>
      <c r="T354" s="164"/>
      <c r="U354" s="164"/>
      <c r="V354" s="164"/>
      <c r="W354" s="164"/>
      <c r="X354" s="164"/>
      <c r="Y354" s="164"/>
      <c r="Z354" s="164"/>
    </row>
    <row r="355" ht="13.5" customHeight="1">
      <c r="A355" s="164"/>
      <c r="B355" s="164"/>
      <c r="C355" s="164"/>
      <c r="D355" s="164"/>
      <c r="E355" s="164"/>
      <c r="F355" s="164"/>
      <c r="G355" s="164"/>
      <c r="H355" s="164"/>
      <c r="I355" s="164"/>
      <c r="J355" s="164"/>
      <c r="K355" s="164"/>
      <c r="L355" s="164"/>
      <c r="M355" s="164"/>
      <c r="N355" s="164"/>
      <c r="O355" s="164"/>
      <c r="P355" s="164"/>
      <c r="Q355" s="164"/>
      <c r="R355" s="164"/>
      <c r="S355" s="164"/>
      <c r="T355" s="164"/>
      <c r="U355" s="164"/>
      <c r="V355" s="164"/>
      <c r="W355" s="164"/>
      <c r="X355" s="164"/>
      <c r="Y355" s="164"/>
      <c r="Z355" s="164"/>
    </row>
    <row r="356" ht="13.5" customHeight="1">
      <c r="A356" s="164"/>
      <c r="B356" s="164"/>
      <c r="C356" s="164"/>
      <c r="D356" s="164"/>
      <c r="E356" s="164"/>
      <c r="F356" s="164"/>
      <c r="G356" s="164"/>
      <c r="H356" s="164"/>
      <c r="I356" s="164"/>
      <c r="J356" s="164"/>
      <c r="K356" s="164"/>
      <c r="L356" s="164"/>
      <c r="M356" s="164"/>
      <c r="N356" s="164"/>
      <c r="O356" s="164"/>
      <c r="P356" s="164"/>
      <c r="Q356" s="164"/>
      <c r="R356" s="164"/>
      <c r="S356" s="164"/>
      <c r="T356" s="164"/>
      <c r="U356" s="164"/>
      <c r="V356" s="164"/>
      <c r="W356" s="164"/>
      <c r="X356" s="164"/>
      <c r="Y356" s="164"/>
      <c r="Z356" s="164"/>
    </row>
    <row r="357" ht="13.5" customHeight="1">
      <c r="A357" s="164"/>
      <c r="B357" s="164"/>
      <c r="C357" s="164"/>
      <c r="D357" s="164"/>
      <c r="E357" s="164"/>
      <c r="F357" s="164"/>
      <c r="G357" s="164"/>
      <c r="H357" s="164"/>
      <c r="I357" s="164"/>
      <c r="J357" s="164"/>
      <c r="K357" s="164"/>
      <c r="L357" s="164"/>
      <c r="M357" s="164"/>
      <c r="N357" s="164"/>
      <c r="O357" s="164"/>
      <c r="P357" s="164"/>
      <c r="Q357" s="164"/>
      <c r="R357" s="164"/>
      <c r="S357" s="164"/>
      <c r="T357" s="164"/>
      <c r="U357" s="164"/>
      <c r="V357" s="164"/>
      <c r="W357" s="164"/>
      <c r="X357" s="164"/>
      <c r="Y357" s="164"/>
      <c r="Z357" s="164"/>
    </row>
    <row r="358" ht="13.5" customHeight="1">
      <c r="A358" s="164"/>
      <c r="B358" s="164"/>
      <c r="C358" s="164"/>
      <c r="D358" s="164"/>
      <c r="E358" s="164"/>
      <c r="F358" s="164"/>
      <c r="G358" s="164"/>
      <c r="H358" s="164"/>
      <c r="I358" s="164"/>
      <c r="J358" s="164"/>
      <c r="K358" s="164"/>
      <c r="L358" s="164"/>
      <c r="M358" s="164"/>
      <c r="N358" s="164"/>
      <c r="O358" s="164"/>
      <c r="P358" s="164"/>
      <c r="Q358" s="164"/>
      <c r="R358" s="164"/>
      <c r="S358" s="164"/>
      <c r="T358" s="164"/>
      <c r="U358" s="164"/>
      <c r="V358" s="164"/>
      <c r="W358" s="164"/>
      <c r="X358" s="164"/>
      <c r="Y358" s="164"/>
      <c r="Z358" s="164"/>
    </row>
    <row r="359" ht="13.5" customHeight="1">
      <c r="A359" s="164"/>
      <c r="B359" s="164"/>
      <c r="C359" s="164"/>
      <c r="D359" s="164"/>
      <c r="E359" s="164"/>
      <c r="F359" s="164"/>
      <c r="G359" s="164"/>
      <c r="H359" s="164"/>
      <c r="I359" s="164"/>
      <c r="J359" s="164"/>
      <c r="K359" s="164"/>
      <c r="L359" s="164"/>
      <c r="M359" s="164"/>
      <c r="N359" s="164"/>
      <c r="O359" s="164"/>
      <c r="P359" s="164"/>
      <c r="Q359" s="164"/>
      <c r="R359" s="164"/>
      <c r="S359" s="164"/>
      <c r="T359" s="164"/>
      <c r="U359" s="164"/>
      <c r="V359" s="164"/>
      <c r="W359" s="164"/>
      <c r="X359" s="164"/>
      <c r="Y359" s="164"/>
      <c r="Z359" s="164"/>
    </row>
    <row r="360" ht="13.5" customHeight="1">
      <c r="A360" s="164"/>
      <c r="B360" s="164"/>
      <c r="C360" s="164"/>
      <c r="D360" s="164"/>
      <c r="E360" s="164"/>
      <c r="F360" s="164"/>
      <c r="G360" s="164"/>
      <c r="H360" s="164"/>
      <c r="I360" s="164"/>
      <c r="J360" s="164"/>
      <c r="K360" s="164"/>
      <c r="L360" s="164"/>
      <c r="M360" s="164"/>
      <c r="N360" s="164"/>
      <c r="O360" s="164"/>
      <c r="P360" s="164"/>
      <c r="Q360" s="164"/>
      <c r="R360" s="164"/>
      <c r="S360" s="164"/>
      <c r="T360" s="164"/>
      <c r="U360" s="164"/>
      <c r="V360" s="164"/>
      <c r="W360" s="164"/>
      <c r="X360" s="164"/>
      <c r="Y360" s="164"/>
      <c r="Z360" s="164"/>
    </row>
    <row r="361" ht="13.5" customHeight="1">
      <c r="A361" s="164"/>
      <c r="B361" s="164"/>
      <c r="C361" s="164"/>
      <c r="D361" s="164"/>
      <c r="E361" s="164"/>
      <c r="F361" s="164"/>
      <c r="G361" s="164"/>
      <c r="H361" s="164"/>
      <c r="I361" s="164"/>
      <c r="J361" s="164"/>
      <c r="K361" s="164"/>
      <c r="L361" s="164"/>
      <c r="M361" s="164"/>
      <c r="N361" s="164"/>
      <c r="O361" s="164"/>
      <c r="P361" s="164"/>
      <c r="Q361" s="164"/>
      <c r="R361" s="164"/>
      <c r="S361" s="164"/>
      <c r="T361" s="164"/>
      <c r="U361" s="164"/>
      <c r="V361" s="164"/>
      <c r="W361" s="164"/>
      <c r="X361" s="164"/>
      <c r="Y361" s="164"/>
      <c r="Z361" s="164"/>
    </row>
    <row r="362" ht="13.5" customHeight="1">
      <c r="A362" s="164"/>
      <c r="B362" s="164"/>
      <c r="C362" s="164"/>
      <c r="D362" s="164"/>
      <c r="E362" s="164"/>
      <c r="F362" s="164"/>
      <c r="G362" s="164"/>
      <c r="H362" s="164"/>
      <c r="I362" s="164"/>
      <c r="J362" s="164"/>
      <c r="K362" s="164"/>
      <c r="L362" s="164"/>
      <c r="M362" s="164"/>
      <c r="N362" s="164"/>
      <c r="O362" s="164"/>
      <c r="P362" s="164"/>
      <c r="Q362" s="164"/>
      <c r="R362" s="164"/>
      <c r="S362" s="164"/>
      <c r="T362" s="164"/>
      <c r="U362" s="164"/>
      <c r="V362" s="164"/>
      <c r="W362" s="164"/>
      <c r="X362" s="164"/>
      <c r="Y362" s="164"/>
      <c r="Z362" s="164"/>
    </row>
    <row r="363" ht="13.5" customHeight="1">
      <c r="A363" s="164"/>
      <c r="B363" s="164"/>
      <c r="C363" s="164"/>
      <c r="D363" s="164"/>
      <c r="E363" s="164"/>
      <c r="F363" s="164"/>
      <c r="G363" s="164"/>
      <c r="H363" s="164"/>
      <c r="I363" s="164"/>
      <c r="J363" s="164"/>
      <c r="K363" s="164"/>
      <c r="L363" s="164"/>
      <c r="M363" s="164"/>
      <c r="N363" s="164"/>
      <c r="O363" s="164"/>
      <c r="P363" s="164"/>
      <c r="Q363" s="164"/>
      <c r="R363" s="164"/>
      <c r="S363" s="164"/>
      <c r="T363" s="164"/>
      <c r="U363" s="164"/>
      <c r="V363" s="164"/>
      <c r="W363" s="164"/>
      <c r="X363" s="164"/>
      <c r="Y363" s="164"/>
      <c r="Z363" s="164"/>
    </row>
    <row r="364" ht="13.5" customHeight="1">
      <c r="A364" s="164"/>
      <c r="B364" s="164"/>
      <c r="C364" s="164"/>
      <c r="D364" s="164"/>
      <c r="E364" s="164"/>
      <c r="F364" s="164"/>
      <c r="G364" s="164"/>
      <c r="H364" s="164"/>
      <c r="I364" s="164"/>
      <c r="J364" s="164"/>
      <c r="K364" s="164"/>
      <c r="L364" s="164"/>
      <c r="M364" s="164"/>
      <c r="N364" s="164"/>
      <c r="O364" s="164"/>
      <c r="P364" s="164"/>
      <c r="Q364" s="164"/>
      <c r="R364" s="164"/>
      <c r="S364" s="164"/>
      <c r="T364" s="164"/>
      <c r="U364" s="164"/>
      <c r="V364" s="164"/>
      <c r="W364" s="164"/>
      <c r="X364" s="164"/>
      <c r="Y364" s="164"/>
      <c r="Z364" s="164"/>
    </row>
    <row r="365" ht="13.5" customHeight="1">
      <c r="A365" s="164"/>
      <c r="B365" s="164"/>
      <c r="C365" s="164"/>
      <c r="D365" s="164"/>
      <c r="E365" s="164"/>
      <c r="F365" s="164"/>
      <c r="G365" s="164"/>
      <c r="H365" s="164"/>
      <c r="I365" s="164"/>
      <c r="J365" s="164"/>
      <c r="K365" s="164"/>
      <c r="L365" s="164"/>
      <c r="M365" s="164"/>
      <c r="N365" s="164"/>
      <c r="O365" s="164"/>
      <c r="P365" s="164"/>
      <c r="Q365" s="164"/>
      <c r="R365" s="164"/>
      <c r="S365" s="164"/>
      <c r="T365" s="164"/>
      <c r="U365" s="164"/>
      <c r="V365" s="164"/>
      <c r="W365" s="164"/>
      <c r="X365" s="164"/>
      <c r="Y365" s="164"/>
      <c r="Z365" s="164"/>
    </row>
    <row r="366" ht="13.5" customHeight="1">
      <c r="A366" s="164"/>
      <c r="B366" s="164"/>
      <c r="C366" s="164"/>
      <c r="D366" s="164"/>
      <c r="E366" s="164"/>
      <c r="F366" s="164"/>
      <c r="G366" s="164"/>
      <c r="H366" s="164"/>
      <c r="I366" s="164"/>
      <c r="J366" s="164"/>
      <c r="K366" s="164"/>
      <c r="L366" s="164"/>
      <c r="M366" s="164"/>
      <c r="N366" s="164"/>
      <c r="O366" s="164"/>
      <c r="P366" s="164"/>
      <c r="Q366" s="164"/>
      <c r="R366" s="164"/>
      <c r="S366" s="164"/>
      <c r="T366" s="164"/>
      <c r="U366" s="164"/>
      <c r="V366" s="164"/>
      <c r="W366" s="164"/>
      <c r="X366" s="164"/>
      <c r="Y366" s="164"/>
      <c r="Z366" s="164"/>
    </row>
    <row r="367" ht="13.5" customHeight="1">
      <c r="A367" s="164"/>
      <c r="B367" s="164"/>
      <c r="C367" s="164"/>
      <c r="D367" s="164"/>
      <c r="E367" s="164"/>
      <c r="F367" s="164"/>
      <c r="G367" s="164"/>
      <c r="H367" s="164"/>
      <c r="I367" s="164"/>
      <c r="J367" s="164"/>
      <c r="K367" s="164"/>
      <c r="L367" s="164"/>
      <c r="M367" s="164"/>
      <c r="N367" s="164"/>
      <c r="O367" s="164"/>
      <c r="P367" s="164"/>
      <c r="Q367" s="164"/>
      <c r="R367" s="164"/>
      <c r="S367" s="164"/>
      <c r="T367" s="164"/>
      <c r="U367" s="164"/>
      <c r="V367" s="164"/>
      <c r="W367" s="164"/>
      <c r="X367" s="164"/>
      <c r="Y367" s="164"/>
      <c r="Z367" s="164"/>
    </row>
    <row r="368" ht="13.5" customHeight="1">
      <c r="A368" s="164"/>
      <c r="B368" s="164"/>
      <c r="C368" s="164"/>
      <c r="D368" s="164"/>
      <c r="E368" s="164"/>
      <c r="F368" s="164"/>
      <c r="G368" s="164"/>
      <c r="H368" s="164"/>
      <c r="I368" s="164"/>
      <c r="J368" s="164"/>
      <c r="K368" s="164"/>
      <c r="L368" s="164"/>
      <c r="M368" s="164"/>
      <c r="N368" s="164"/>
      <c r="O368" s="164"/>
      <c r="P368" s="164"/>
      <c r="Q368" s="164"/>
      <c r="R368" s="164"/>
      <c r="S368" s="164"/>
      <c r="T368" s="164"/>
      <c r="U368" s="164"/>
      <c r="V368" s="164"/>
      <c r="W368" s="164"/>
      <c r="X368" s="164"/>
      <c r="Y368" s="164"/>
      <c r="Z368" s="164"/>
    </row>
    <row r="369" ht="13.5" customHeight="1">
      <c r="A369" s="164"/>
      <c r="B369" s="164"/>
      <c r="C369" s="164"/>
      <c r="D369" s="164"/>
      <c r="E369" s="164"/>
      <c r="F369" s="164"/>
      <c r="G369" s="164"/>
      <c r="H369" s="164"/>
      <c r="I369" s="164"/>
      <c r="J369" s="164"/>
      <c r="K369" s="164"/>
      <c r="L369" s="164"/>
      <c r="M369" s="164"/>
      <c r="N369" s="164"/>
      <c r="O369" s="164"/>
      <c r="P369" s="164"/>
      <c r="Q369" s="164"/>
      <c r="R369" s="164"/>
      <c r="S369" s="164"/>
      <c r="T369" s="164"/>
      <c r="U369" s="164"/>
      <c r="V369" s="164"/>
      <c r="W369" s="164"/>
      <c r="X369" s="164"/>
      <c r="Y369" s="164"/>
      <c r="Z369" s="164"/>
    </row>
    <row r="370" ht="13.5" customHeight="1">
      <c r="A370" s="164"/>
      <c r="B370" s="164"/>
      <c r="C370" s="164"/>
      <c r="D370" s="164"/>
      <c r="E370" s="164"/>
      <c r="F370" s="164"/>
      <c r="G370" s="164"/>
      <c r="H370" s="164"/>
      <c r="I370" s="164"/>
      <c r="J370" s="164"/>
      <c r="K370" s="164"/>
      <c r="L370" s="164"/>
      <c r="M370" s="164"/>
      <c r="N370" s="164"/>
      <c r="O370" s="164"/>
      <c r="P370" s="164"/>
      <c r="Q370" s="164"/>
      <c r="R370" s="164"/>
      <c r="S370" s="164"/>
      <c r="T370" s="164"/>
      <c r="U370" s="164"/>
      <c r="V370" s="164"/>
      <c r="W370" s="164"/>
      <c r="X370" s="164"/>
      <c r="Y370" s="164"/>
      <c r="Z370" s="164"/>
    </row>
    <row r="371" ht="13.5" customHeight="1">
      <c r="A371" s="164"/>
      <c r="B371" s="164"/>
      <c r="C371" s="164"/>
      <c r="D371" s="164"/>
      <c r="E371" s="164"/>
      <c r="F371" s="164"/>
      <c r="G371" s="164"/>
      <c r="H371" s="164"/>
      <c r="I371" s="164"/>
      <c r="J371" s="164"/>
      <c r="K371" s="164"/>
      <c r="L371" s="164"/>
      <c r="M371" s="164"/>
      <c r="N371" s="164"/>
      <c r="O371" s="164"/>
      <c r="P371" s="164"/>
      <c r="Q371" s="164"/>
      <c r="R371" s="164"/>
      <c r="S371" s="164"/>
      <c r="T371" s="164"/>
      <c r="U371" s="164"/>
      <c r="V371" s="164"/>
      <c r="W371" s="164"/>
      <c r="X371" s="164"/>
      <c r="Y371" s="164"/>
      <c r="Z371" s="164"/>
    </row>
    <row r="372" ht="13.5" customHeight="1">
      <c r="A372" s="164"/>
      <c r="B372" s="164"/>
      <c r="C372" s="164"/>
      <c r="D372" s="164"/>
      <c r="E372" s="164"/>
      <c r="F372" s="164"/>
      <c r="G372" s="164"/>
      <c r="H372" s="164"/>
      <c r="I372" s="164"/>
      <c r="J372" s="164"/>
      <c r="K372" s="164"/>
      <c r="L372" s="164"/>
      <c r="M372" s="164"/>
      <c r="N372" s="164"/>
      <c r="O372" s="164"/>
      <c r="P372" s="164"/>
      <c r="Q372" s="164"/>
      <c r="R372" s="164"/>
      <c r="S372" s="164"/>
      <c r="T372" s="164"/>
      <c r="U372" s="164"/>
      <c r="V372" s="164"/>
      <c r="W372" s="164"/>
      <c r="X372" s="164"/>
      <c r="Y372" s="164"/>
      <c r="Z372" s="164"/>
    </row>
    <row r="373" ht="13.5" customHeight="1">
      <c r="A373" s="164"/>
      <c r="B373" s="164"/>
      <c r="C373" s="164"/>
      <c r="D373" s="164"/>
      <c r="E373" s="164"/>
      <c r="F373" s="164"/>
      <c r="G373" s="164"/>
      <c r="H373" s="164"/>
      <c r="I373" s="164"/>
      <c r="J373" s="164"/>
      <c r="K373" s="164"/>
      <c r="L373" s="164"/>
      <c r="M373" s="164"/>
      <c r="N373" s="164"/>
      <c r="O373" s="164"/>
      <c r="P373" s="164"/>
      <c r="Q373" s="164"/>
      <c r="R373" s="164"/>
      <c r="S373" s="164"/>
      <c r="T373" s="164"/>
      <c r="U373" s="164"/>
      <c r="V373" s="164"/>
      <c r="W373" s="164"/>
      <c r="X373" s="164"/>
      <c r="Y373" s="164"/>
      <c r="Z373" s="164"/>
    </row>
    <row r="374" ht="13.5" customHeight="1">
      <c r="A374" s="164"/>
      <c r="B374" s="164"/>
      <c r="C374" s="164"/>
      <c r="D374" s="164"/>
      <c r="E374" s="164"/>
      <c r="F374" s="164"/>
      <c r="G374" s="164"/>
      <c r="H374" s="164"/>
      <c r="I374" s="164"/>
      <c r="J374" s="164"/>
      <c r="K374" s="164"/>
      <c r="L374" s="164"/>
      <c r="M374" s="164"/>
      <c r="N374" s="164"/>
      <c r="O374" s="164"/>
      <c r="P374" s="164"/>
      <c r="Q374" s="164"/>
      <c r="R374" s="164"/>
      <c r="S374" s="164"/>
      <c r="T374" s="164"/>
      <c r="U374" s="164"/>
      <c r="V374" s="164"/>
      <c r="W374" s="164"/>
      <c r="X374" s="164"/>
      <c r="Y374" s="164"/>
      <c r="Z374" s="164"/>
    </row>
    <row r="375" ht="13.5" customHeight="1">
      <c r="A375" s="164"/>
      <c r="B375" s="164"/>
      <c r="C375" s="164"/>
      <c r="D375" s="164"/>
      <c r="E375" s="164"/>
      <c r="F375" s="164"/>
      <c r="G375" s="164"/>
      <c r="H375" s="164"/>
      <c r="I375" s="164"/>
      <c r="J375" s="164"/>
      <c r="K375" s="164"/>
      <c r="L375" s="164"/>
      <c r="M375" s="164"/>
      <c r="N375" s="164"/>
      <c r="O375" s="164"/>
      <c r="P375" s="164"/>
      <c r="Q375" s="164"/>
      <c r="R375" s="164"/>
      <c r="S375" s="164"/>
      <c r="T375" s="164"/>
      <c r="U375" s="164"/>
      <c r="V375" s="164"/>
      <c r="W375" s="164"/>
      <c r="X375" s="164"/>
      <c r="Y375" s="164"/>
      <c r="Z375" s="164"/>
    </row>
    <row r="376" ht="13.5" customHeight="1">
      <c r="A376" s="164"/>
      <c r="B376" s="164"/>
      <c r="C376" s="164"/>
      <c r="D376" s="164"/>
      <c r="E376" s="164"/>
      <c r="F376" s="164"/>
      <c r="G376" s="164"/>
      <c r="H376" s="164"/>
      <c r="I376" s="164"/>
      <c r="J376" s="164"/>
      <c r="K376" s="164"/>
      <c r="L376" s="164"/>
      <c r="M376" s="164"/>
      <c r="N376" s="164"/>
      <c r="O376" s="164"/>
      <c r="P376" s="164"/>
      <c r="Q376" s="164"/>
      <c r="R376" s="164"/>
      <c r="S376" s="164"/>
      <c r="T376" s="164"/>
      <c r="U376" s="164"/>
      <c r="V376" s="164"/>
      <c r="W376" s="164"/>
      <c r="X376" s="164"/>
      <c r="Y376" s="164"/>
      <c r="Z376" s="164"/>
    </row>
    <row r="377" ht="13.5" customHeight="1">
      <c r="A377" s="164"/>
      <c r="B377" s="164"/>
      <c r="C377" s="164"/>
      <c r="D377" s="164"/>
      <c r="E377" s="164"/>
      <c r="F377" s="164"/>
      <c r="G377" s="164"/>
      <c r="H377" s="164"/>
      <c r="I377" s="164"/>
      <c r="J377" s="164"/>
      <c r="K377" s="164"/>
      <c r="L377" s="164"/>
      <c r="M377" s="164"/>
      <c r="N377" s="164"/>
      <c r="O377" s="164"/>
      <c r="P377" s="164"/>
      <c r="Q377" s="164"/>
      <c r="R377" s="164"/>
      <c r="S377" s="164"/>
      <c r="T377" s="164"/>
      <c r="U377" s="164"/>
      <c r="V377" s="164"/>
      <c r="W377" s="164"/>
      <c r="X377" s="164"/>
      <c r="Y377" s="164"/>
      <c r="Z377" s="164"/>
    </row>
    <row r="378" ht="13.5" customHeight="1">
      <c r="A378" s="164"/>
      <c r="B378" s="164"/>
      <c r="C378" s="164"/>
      <c r="D378" s="164"/>
      <c r="E378" s="164"/>
      <c r="F378" s="164"/>
      <c r="G378" s="164"/>
      <c r="H378" s="164"/>
      <c r="I378" s="164"/>
      <c r="J378" s="164"/>
      <c r="K378" s="164"/>
      <c r="L378" s="164"/>
      <c r="M378" s="164"/>
      <c r="N378" s="164"/>
      <c r="O378" s="164"/>
      <c r="P378" s="164"/>
      <c r="Q378" s="164"/>
      <c r="R378" s="164"/>
      <c r="S378" s="164"/>
      <c r="T378" s="164"/>
      <c r="U378" s="164"/>
      <c r="V378" s="164"/>
      <c r="W378" s="164"/>
      <c r="X378" s="164"/>
      <c r="Y378" s="164"/>
      <c r="Z378" s="164"/>
    </row>
    <row r="379" ht="13.5" customHeight="1">
      <c r="A379" s="164"/>
      <c r="B379" s="164"/>
      <c r="C379" s="164"/>
      <c r="D379" s="164"/>
      <c r="E379" s="164"/>
      <c r="F379" s="164"/>
      <c r="G379" s="164"/>
      <c r="H379" s="164"/>
      <c r="I379" s="164"/>
      <c r="J379" s="164"/>
      <c r="K379" s="164"/>
      <c r="L379" s="164"/>
      <c r="M379" s="164"/>
      <c r="N379" s="164"/>
      <c r="O379" s="164"/>
      <c r="P379" s="164"/>
      <c r="Q379" s="164"/>
      <c r="R379" s="164"/>
      <c r="S379" s="164"/>
      <c r="T379" s="164"/>
      <c r="U379" s="164"/>
      <c r="V379" s="164"/>
      <c r="W379" s="164"/>
      <c r="X379" s="164"/>
      <c r="Y379" s="164"/>
      <c r="Z379" s="164"/>
    </row>
    <row r="380" ht="13.5" customHeight="1">
      <c r="A380" s="164"/>
      <c r="B380" s="164"/>
      <c r="C380" s="164"/>
      <c r="D380" s="164"/>
      <c r="E380" s="164"/>
      <c r="F380" s="164"/>
      <c r="G380" s="164"/>
      <c r="H380" s="164"/>
      <c r="I380" s="164"/>
      <c r="J380" s="164"/>
      <c r="K380" s="164"/>
      <c r="L380" s="164"/>
      <c r="M380" s="164"/>
      <c r="N380" s="164"/>
      <c r="O380" s="164"/>
      <c r="P380" s="164"/>
      <c r="Q380" s="164"/>
      <c r="R380" s="164"/>
      <c r="S380" s="164"/>
      <c r="T380" s="164"/>
      <c r="U380" s="164"/>
      <c r="V380" s="164"/>
      <c r="W380" s="164"/>
      <c r="X380" s="164"/>
      <c r="Y380" s="164"/>
      <c r="Z380" s="164"/>
    </row>
    <row r="381" ht="13.5" customHeight="1">
      <c r="A381" s="164"/>
      <c r="B381" s="164"/>
      <c r="C381" s="164"/>
      <c r="D381" s="164"/>
      <c r="E381" s="164"/>
      <c r="F381" s="164"/>
      <c r="G381" s="164"/>
      <c r="H381" s="164"/>
      <c r="I381" s="164"/>
      <c r="J381" s="164"/>
      <c r="K381" s="164"/>
      <c r="L381" s="164"/>
      <c r="M381" s="164"/>
      <c r="N381" s="164"/>
      <c r="O381" s="164"/>
      <c r="P381" s="164"/>
      <c r="Q381" s="164"/>
      <c r="R381" s="164"/>
      <c r="S381" s="164"/>
      <c r="T381" s="164"/>
      <c r="U381" s="164"/>
      <c r="V381" s="164"/>
      <c r="W381" s="164"/>
      <c r="X381" s="164"/>
      <c r="Y381" s="164"/>
      <c r="Z381" s="164"/>
    </row>
    <row r="382" ht="13.5" customHeight="1">
      <c r="A382" s="164"/>
      <c r="B382" s="164"/>
      <c r="C382" s="164"/>
      <c r="D382" s="164"/>
      <c r="E382" s="164"/>
      <c r="F382" s="164"/>
      <c r="G382" s="164"/>
      <c r="H382" s="164"/>
      <c r="I382" s="164"/>
      <c r="J382" s="164"/>
      <c r="K382" s="164"/>
      <c r="L382" s="164"/>
      <c r="M382" s="164"/>
      <c r="N382" s="164"/>
      <c r="O382" s="164"/>
      <c r="P382" s="164"/>
      <c r="Q382" s="164"/>
      <c r="R382" s="164"/>
      <c r="S382" s="164"/>
      <c r="T382" s="164"/>
      <c r="U382" s="164"/>
      <c r="V382" s="164"/>
      <c r="W382" s="164"/>
      <c r="X382" s="164"/>
      <c r="Y382" s="164"/>
      <c r="Z382" s="164"/>
    </row>
    <row r="383" ht="13.5" customHeight="1">
      <c r="A383" s="164"/>
      <c r="B383" s="164"/>
      <c r="C383" s="164"/>
      <c r="D383" s="164"/>
      <c r="E383" s="164"/>
      <c r="F383" s="164"/>
      <c r="G383" s="164"/>
      <c r="H383" s="164"/>
      <c r="I383" s="164"/>
      <c r="J383" s="164"/>
      <c r="K383" s="164"/>
      <c r="L383" s="164"/>
      <c r="M383" s="164"/>
      <c r="N383" s="164"/>
      <c r="O383" s="164"/>
      <c r="P383" s="164"/>
      <c r="Q383" s="164"/>
      <c r="R383" s="164"/>
      <c r="S383" s="164"/>
      <c r="T383" s="164"/>
      <c r="U383" s="164"/>
      <c r="V383" s="164"/>
      <c r="W383" s="164"/>
      <c r="X383" s="164"/>
      <c r="Y383" s="164"/>
      <c r="Z383" s="164"/>
    </row>
    <row r="384" ht="13.5" customHeight="1">
      <c r="A384" s="164"/>
      <c r="B384" s="164"/>
      <c r="C384" s="164"/>
      <c r="D384" s="164"/>
      <c r="E384" s="164"/>
      <c r="F384" s="164"/>
      <c r="G384" s="164"/>
      <c r="H384" s="164"/>
      <c r="I384" s="164"/>
      <c r="J384" s="164"/>
      <c r="K384" s="164"/>
      <c r="L384" s="164"/>
      <c r="M384" s="164"/>
      <c r="N384" s="164"/>
      <c r="O384" s="164"/>
      <c r="P384" s="164"/>
      <c r="Q384" s="164"/>
      <c r="R384" s="164"/>
      <c r="S384" s="164"/>
      <c r="T384" s="164"/>
      <c r="U384" s="164"/>
      <c r="V384" s="164"/>
      <c r="W384" s="164"/>
      <c r="X384" s="164"/>
      <c r="Y384" s="164"/>
      <c r="Z384" s="164"/>
    </row>
    <row r="385" ht="13.5" customHeight="1">
      <c r="A385" s="164"/>
      <c r="B385" s="164"/>
      <c r="C385" s="164"/>
      <c r="D385" s="164"/>
      <c r="E385" s="164"/>
      <c r="F385" s="164"/>
      <c r="G385" s="164"/>
      <c r="H385" s="164"/>
      <c r="I385" s="164"/>
      <c r="J385" s="164"/>
      <c r="K385" s="164"/>
      <c r="L385" s="164"/>
      <c r="M385" s="164"/>
      <c r="N385" s="164"/>
      <c r="O385" s="164"/>
      <c r="P385" s="164"/>
      <c r="Q385" s="164"/>
      <c r="R385" s="164"/>
      <c r="S385" s="164"/>
      <c r="T385" s="164"/>
      <c r="U385" s="164"/>
      <c r="V385" s="164"/>
      <c r="W385" s="164"/>
      <c r="X385" s="164"/>
      <c r="Y385" s="164"/>
      <c r="Z385" s="164"/>
    </row>
    <row r="386" ht="13.5" customHeight="1">
      <c r="A386" s="164"/>
      <c r="B386" s="164"/>
      <c r="C386" s="164"/>
      <c r="D386" s="164"/>
      <c r="E386" s="164"/>
      <c r="F386" s="164"/>
      <c r="G386" s="164"/>
      <c r="H386" s="164"/>
      <c r="I386" s="164"/>
      <c r="J386" s="164"/>
      <c r="K386" s="164"/>
      <c r="L386" s="164"/>
      <c r="M386" s="164"/>
      <c r="N386" s="164"/>
      <c r="O386" s="164"/>
      <c r="P386" s="164"/>
      <c r="Q386" s="164"/>
      <c r="R386" s="164"/>
      <c r="S386" s="164"/>
      <c r="T386" s="164"/>
      <c r="U386" s="164"/>
      <c r="V386" s="164"/>
      <c r="W386" s="164"/>
      <c r="X386" s="164"/>
      <c r="Y386" s="164"/>
      <c r="Z386" s="164"/>
    </row>
    <row r="387" ht="13.5" customHeight="1">
      <c r="A387" s="164"/>
      <c r="B387" s="164"/>
      <c r="C387" s="164"/>
      <c r="D387" s="164"/>
      <c r="E387" s="164"/>
      <c r="F387" s="164"/>
      <c r="G387" s="164"/>
      <c r="H387" s="164"/>
      <c r="I387" s="164"/>
      <c r="J387" s="164"/>
      <c r="K387" s="164"/>
      <c r="L387" s="164"/>
      <c r="M387" s="164"/>
      <c r="N387" s="164"/>
      <c r="O387" s="164"/>
      <c r="P387" s="164"/>
      <c r="Q387" s="164"/>
      <c r="R387" s="164"/>
      <c r="S387" s="164"/>
      <c r="T387" s="164"/>
      <c r="U387" s="164"/>
      <c r="V387" s="164"/>
      <c r="W387" s="164"/>
      <c r="X387" s="164"/>
      <c r="Y387" s="164"/>
      <c r="Z387" s="164"/>
    </row>
    <row r="388" ht="13.5" customHeight="1">
      <c r="A388" s="164"/>
      <c r="B388" s="164"/>
      <c r="C388" s="164"/>
      <c r="D388" s="164"/>
      <c r="E388" s="164"/>
      <c r="F388" s="164"/>
      <c r="G388" s="164"/>
      <c r="H388" s="164"/>
      <c r="I388" s="164"/>
      <c r="J388" s="164"/>
      <c r="K388" s="164"/>
      <c r="L388" s="164"/>
      <c r="M388" s="164"/>
      <c r="N388" s="164"/>
      <c r="O388" s="164"/>
      <c r="P388" s="164"/>
      <c r="Q388" s="164"/>
      <c r="R388" s="164"/>
      <c r="S388" s="164"/>
      <c r="T388" s="164"/>
      <c r="U388" s="164"/>
      <c r="V388" s="164"/>
      <c r="W388" s="164"/>
      <c r="X388" s="164"/>
      <c r="Y388" s="164"/>
      <c r="Z388" s="164"/>
    </row>
    <row r="389" ht="13.5" customHeight="1">
      <c r="A389" s="164"/>
      <c r="B389" s="164"/>
      <c r="C389" s="164"/>
      <c r="D389" s="164"/>
      <c r="E389" s="164"/>
      <c r="F389" s="164"/>
      <c r="G389" s="164"/>
      <c r="H389" s="164"/>
      <c r="I389" s="164"/>
      <c r="J389" s="164"/>
      <c r="K389" s="164"/>
      <c r="L389" s="164"/>
      <c r="M389" s="164"/>
      <c r="N389" s="164"/>
      <c r="O389" s="164"/>
      <c r="P389" s="164"/>
      <c r="Q389" s="164"/>
      <c r="R389" s="164"/>
      <c r="S389" s="164"/>
      <c r="T389" s="164"/>
      <c r="U389" s="164"/>
      <c r="V389" s="164"/>
      <c r="W389" s="164"/>
      <c r="X389" s="164"/>
      <c r="Y389" s="164"/>
      <c r="Z389" s="164"/>
    </row>
    <row r="390" ht="13.5" customHeight="1">
      <c r="A390" s="164"/>
      <c r="B390" s="164"/>
      <c r="C390" s="164"/>
      <c r="D390" s="164"/>
      <c r="E390" s="164"/>
      <c r="F390" s="164"/>
      <c r="G390" s="164"/>
      <c r="H390" s="164"/>
      <c r="I390" s="164"/>
      <c r="J390" s="164"/>
      <c r="K390" s="164"/>
      <c r="L390" s="164"/>
      <c r="M390" s="164"/>
      <c r="N390" s="164"/>
      <c r="O390" s="164"/>
      <c r="P390" s="164"/>
      <c r="Q390" s="164"/>
      <c r="R390" s="164"/>
      <c r="S390" s="164"/>
      <c r="T390" s="164"/>
      <c r="U390" s="164"/>
      <c r="V390" s="164"/>
      <c r="W390" s="164"/>
      <c r="X390" s="164"/>
      <c r="Y390" s="164"/>
      <c r="Z390" s="164"/>
    </row>
    <row r="391" ht="13.5" customHeight="1">
      <c r="A391" s="164"/>
      <c r="B391" s="164"/>
      <c r="C391" s="164"/>
      <c r="D391" s="164"/>
      <c r="E391" s="164"/>
      <c r="F391" s="164"/>
      <c r="G391" s="164"/>
      <c r="H391" s="164"/>
      <c r="I391" s="164"/>
      <c r="J391" s="164"/>
      <c r="K391" s="164"/>
      <c r="L391" s="164"/>
      <c r="M391" s="164"/>
      <c r="N391" s="164"/>
      <c r="O391" s="164"/>
      <c r="P391" s="164"/>
      <c r="Q391" s="164"/>
      <c r="R391" s="164"/>
      <c r="S391" s="164"/>
      <c r="T391" s="164"/>
      <c r="U391" s="164"/>
      <c r="V391" s="164"/>
      <c r="W391" s="164"/>
      <c r="X391" s="164"/>
      <c r="Y391" s="164"/>
      <c r="Z391" s="164"/>
    </row>
    <row r="392" ht="13.5" customHeight="1">
      <c r="A392" s="164"/>
      <c r="B392" s="164"/>
      <c r="C392" s="164"/>
      <c r="D392" s="164"/>
      <c r="E392" s="164"/>
      <c r="F392" s="164"/>
      <c r="G392" s="164"/>
      <c r="H392" s="164"/>
      <c r="I392" s="164"/>
      <c r="J392" s="164"/>
      <c r="K392" s="164"/>
      <c r="L392" s="164"/>
      <c r="M392" s="164"/>
      <c r="N392" s="164"/>
      <c r="O392" s="164"/>
      <c r="P392" s="164"/>
      <c r="Q392" s="164"/>
      <c r="R392" s="164"/>
      <c r="S392" s="164"/>
      <c r="T392" s="164"/>
      <c r="U392" s="164"/>
      <c r="V392" s="164"/>
      <c r="W392" s="164"/>
      <c r="X392" s="164"/>
      <c r="Y392" s="164"/>
      <c r="Z392" s="164"/>
    </row>
    <row r="393" ht="13.5" customHeight="1">
      <c r="A393" s="164"/>
      <c r="B393" s="164"/>
      <c r="C393" s="164"/>
      <c r="D393" s="164"/>
      <c r="E393" s="164"/>
      <c r="F393" s="164"/>
      <c r="G393" s="164"/>
      <c r="H393" s="164"/>
      <c r="I393" s="164"/>
      <c r="J393" s="164"/>
      <c r="K393" s="164"/>
      <c r="L393" s="164"/>
      <c r="M393" s="164"/>
      <c r="N393" s="164"/>
      <c r="O393" s="164"/>
      <c r="P393" s="164"/>
      <c r="Q393" s="164"/>
      <c r="R393" s="164"/>
      <c r="S393" s="164"/>
      <c r="T393" s="164"/>
      <c r="U393" s="164"/>
      <c r="V393" s="164"/>
      <c r="W393" s="164"/>
      <c r="X393" s="164"/>
      <c r="Y393" s="164"/>
      <c r="Z393" s="164"/>
    </row>
    <row r="394" ht="13.5" customHeight="1">
      <c r="A394" s="164"/>
      <c r="B394" s="164"/>
      <c r="C394" s="164"/>
      <c r="D394" s="164"/>
      <c r="E394" s="164"/>
      <c r="F394" s="164"/>
      <c r="G394" s="164"/>
      <c r="H394" s="164"/>
      <c r="I394" s="164"/>
      <c r="J394" s="164"/>
      <c r="K394" s="164"/>
      <c r="L394" s="164"/>
      <c r="M394" s="164"/>
      <c r="N394" s="164"/>
      <c r="O394" s="164"/>
      <c r="P394" s="164"/>
      <c r="Q394" s="164"/>
      <c r="R394" s="164"/>
      <c r="S394" s="164"/>
      <c r="T394" s="164"/>
      <c r="U394" s="164"/>
      <c r="V394" s="164"/>
      <c r="W394" s="164"/>
      <c r="X394" s="164"/>
      <c r="Y394" s="164"/>
      <c r="Z394" s="164"/>
    </row>
    <row r="395" ht="13.5" customHeight="1">
      <c r="A395" s="164"/>
      <c r="B395" s="164"/>
      <c r="C395" s="164"/>
      <c r="D395" s="164"/>
      <c r="E395" s="164"/>
      <c r="F395" s="164"/>
      <c r="G395" s="164"/>
      <c r="H395" s="164"/>
      <c r="I395" s="164"/>
      <c r="J395" s="164"/>
      <c r="K395" s="164"/>
      <c r="L395" s="164"/>
      <c r="M395" s="164"/>
      <c r="N395" s="164"/>
      <c r="O395" s="164"/>
      <c r="P395" s="164"/>
      <c r="Q395" s="164"/>
      <c r="R395" s="164"/>
      <c r="S395" s="164"/>
      <c r="T395" s="164"/>
      <c r="U395" s="164"/>
      <c r="V395" s="164"/>
      <c r="W395" s="164"/>
      <c r="X395" s="164"/>
      <c r="Y395" s="164"/>
      <c r="Z395" s="164"/>
    </row>
    <row r="396" ht="13.5" customHeight="1">
      <c r="A396" s="164"/>
      <c r="B396" s="164"/>
      <c r="C396" s="164"/>
      <c r="D396" s="164"/>
      <c r="E396" s="164"/>
      <c r="F396" s="164"/>
      <c r="G396" s="164"/>
      <c r="H396" s="164"/>
      <c r="I396" s="164"/>
      <c r="J396" s="164"/>
      <c r="K396" s="164"/>
      <c r="L396" s="164"/>
      <c r="M396" s="164"/>
      <c r="N396" s="164"/>
      <c r="O396" s="164"/>
      <c r="P396" s="164"/>
      <c r="Q396" s="164"/>
      <c r="R396" s="164"/>
      <c r="S396" s="164"/>
      <c r="T396" s="164"/>
      <c r="U396" s="164"/>
      <c r="V396" s="164"/>
      <c r="W396" s="164"/>
      <c r="X396" s="164"/>
      <c r="Y396" s="164"/>
      <c r="Z396" s="164"/>
    </row>
    <row r="397" ht="13.5" customHeight="1">
      <c r="A397" s="164"/>
      <c r="B397" s="164"/>
      <c r="C397" s="164"/>
      <c r="D397" s="164"/>
      <c r="E397" s="164"/>
      <c r="F397" s="164"/>
      <c r="G397" s="164"/>
      <c r="H397" s="164"/>
      <c r="I397" s="164"/>
      <c r="J397" s="164"/>
      <c r="K397" s="164"/>
      <c r="L397" s="164"/>
      <c r="M397" s="164"/>
      <c r="N397" s="164"/>
      <c r="O397" s="164"/>
      <c r="P397" s="164"/>
      <c r="Q397" s="164"/>
      <c r="R397" s="164"/>
      <c r="S397" s="164"/>
      <c r="T397" s="164"/>
      <c r="U397" s="164"/>
      <c r="V397" s="164"/>
      <c r="W397" s="164"/>
      <c r="X397" s="164"/>
      <c r="Y397" s="164"/>
      <c r="Z397" s="164"/>
    </row>
    <row r="398" ht="13.5" customHeight="1">
      <c r="A398" s="164"/>
      <c r="B398" s="164"/>
      <c r="C398" s="164"/>
      <c r="D398" s="164"/>
      <c r="E398" s="164"/>
      <c r="F398" s="164"/>
      <c r="G398" s="164"/>
      <c r="H398" s="164"/>
      <c r="I398" s="164"/>
      <c r="J398" s="164"/>
      <c r="K398" s="164"/>
      <c r="L398" s="164"/>
      <c r="M398" s="164"/>
      <c r="N398" s="164"/>
      <c r="O398" s="164"/>
      <c r="P398" s="164"/>
      <c r="Q398" s="164"/>
      <c r="R398" s="164"/>
      <c r="S398" s="164"/>
      <c r="T398" s="164"/>
      <c r="U398" s="164"/>
      <c r="V398" s="164"/>
      <c r="W398" s="164"/>
      <c r="X398" s="164"/>
      <c r="Y398" s="164"/>
      <c r="Z398" s="164"/>
    </row>
    <row r="399" ht="13.5" customHeight="1">
      <c r="A399" s="164"/>
      <c r="B399" s="164"/>
      <c r="C399" s="164"/>
      <c r="D399" s="164"/>
      <c r="E399" s="164"/>
      <c r="F399" s="164"/>
      <c r="G399" s="164"/>
      <c r="H399" s="164"/>
      <c r="I399" s="164"/>
      <c r="J399" s="164"/>
      <c r="K399" s="164"/>
      <c r="L399" s="164"/>
      <c r="M399" s="164"/>
      <c r="N399" s="164"/>
      <c r="O399" s="164"/>
      <c r="P399" s="164"/>
      <c r="Q399" s="164"/>
      <c r="R399" s="164"/>
      <c r="S399" s="164"/>
      <c r="T399" s="164"/>
      <c r="U399" s="164"/>
      <c r="V399" s="164"/>
      <c r="W399" s="164"/>
      <c r="X399" s="164"/>
      <c r="Y399" s="164"/>
      <c r="Z399" s="164"/>
    </row>
    <row r="400" ht="13.5" customHeight="1">
      <c r="A400" s="164"/>
      <c r="B400" s="164"/>
      <c r="C400" s="164"/>
      <c r="D400" s="164"/>
      <c r="E400" s="164"/>
      <c r="F400" s="164"/>
      <c r="G400" s="164"/>
      <c r="H400" s="164"/>
      <c r="I400" s="164"/>
      <c r="J400" s="164"/>
      <c r="K400" s="164"/>
      <c r="L400" s="164"/>
      <c r="M400" s="164"/>
      <c r="N400" s="164"/>
      <c r="O400" s="164"/>
      <c r="P400" s="164"/>
      <c r="Q400" s="164"/>
      <c r="R400" s="164"/>
      <c r="S400" s="164"/>
      <c r="T400" s="164"/>
      <c r="U400" s="164"/>
      <c r="V400" s="164"/>
      <c r="W400" s="164"/>
      <c r="X400" s="164"/>
      <c r="Y400" s="164"/>
      <c r="Z400" s="164"/>
    </row>
    <row r="401" ht="13.5" customHeight="1">
      <c r="A401" s="164"/>
      <c r="B401" s="164"/>
      <c r="C401" s="164"/>
      <c r="D401" s="164"/>
      <c r="E401" s="164"/>
      <c r="F401" s="164"/>
      <c r="G401" s="164"/>
      <c r="H401" s="164"/>
      <c r="I401" s="164"/>
      <c r="J401" s="164"/>
      <c r="K401" s="164"/>
      <c r="L401" s="164"/>
      <c r="M401" s="164"/>
      <c r="N401" s="164"/>
      <c r="O401" s="164"/>
      <c r="P401" s="164"/>
      <c r="Q401" s="164"/>
      <c r="R401" s="164"/>
      <c r="S401" s="164"/>
      <c r="T401" s="164"/>
      <c r="U401" s="164"/>
      <c r="V401" s="164"/>
      <c r="W401" s="164"/>
      <c r="X401" s="164"/>
      <c r="Y401" s="164"/>
      <c r="Z401" s="164"/>
    </row>
    <row r="402" ht="13.5" customHeight="1">
      <c r="A402" s="164"/>
      <c r="B402" s="164"/>
      <c r="C402" s="164"/>
      <c r="D402" s="164"/>
      <c r="E402" s="164"/>
      <c r="F402" s="164"/>
      <c r="G402" s="164"/>
      <c r="H402" s="164"/>
      <c r="I402" s="164"/>
      <c r="J402" s="164"/>
      <c r="K402" s="164"/>
      <c r="L402" s="164"/>
      <c r="M402" s="164"/>
      <c r="N402" s="164"/>
      <c r="O402" s="164"/>
      <c r="P402" s="164"/>
      <c r="Q402" s="164"/>
      <c r="R402" s="164"/>
      <c r="S402" s="164"/>
      <c r="T402" s="164"/>
      <c r="U402" s="164"/>
      <c r="V402" s="164"/>
      <c r="W402" s="164"/>
      <c r="X402" s="164"/>
      <c r="Y402" s="164"/>
      <c r="Z402" s="164"/>
    </row>
    <row r="403" ht="13.5" customHeight="1">
      <c r="A403" s="164"/>
      <c r="B403" s="164"/>
      <c r="C403" s="164"/>
      <c r="D403" s="164"/>
      <c r="E403" s="164"/>
      <c r="F403" s="164"/>
      <c r="G403" s="164"/>
      <c r="H403" s="164"/>
      <c r="I403" s="164"/>
      <c r="J403" s="164"/>
      <c r="K403" s="164"/>
      <c r="L403" s="164"/>
      <c r="M403" s="164"/>
      <c r="N403" s="164"/>
      <c r="O403" s="164"/>
      <c r="P403" s="164"/>
      <c r="Q403" s="164"/>
      <c r="R403" s="164"/>
      <c r="S403" s="164"/>
      <c r="T403" s="164"/>
      <c r="U403" s="164"/>
      <c r="V403" s="164"/>
      <c r="W403" s="164"/>
      <c r="X403" s="164"/>
      <c r="Y403" s="164"/>
      <c r="Z403" s="164"/>
    </row>
    <row r="404" ht="13.5" customHeight="1">
      <c r="A404" s="164"/>
      <c r="B404" s="164"/>
      <c r="C404" s="164"/>
      <c r="D404" s="164"/>
      <c r="E404" s="164"/>
      <c r="F404" s="164"/>
      <c r="G404" s="164"/>
      <c r="H404" s="164"/>
      <c r="I404" s="164"/>
      <c r="J404" s="164"/>
      <c r="K404" s="164"/>
      <c r="L404" s="164"/>
      <c r="M404" s="164"/>
      <c r="N404" s="164"/>
      <c r="O404" s="164"/>
      <c r="P404" s="164"/>
      <c r="Q404" s="164"/>
      <c r="R404" s="164"/>
      <c r="S404" s="164"/>
      <c r="T404" s="164"/>
      <c r="U404" s="164"/>
      <c r="V404" s="164"/>
      <c r="W404" s="164"/>
      <c r="X404" s="164"/>
      <c r="Y404" s="164"/>
      <c r="Z404" s="164"/>
    </row>
    <row r="405" ht="13.5" customHeight="1">
      <c r="A405" s="164"/>
      <c r="B405" s="164"/>
      <c r="C405" s="164"/>
      <c r="D405" s="164"/>
      <c r="E405" s="164"/>
      <c r="F405" s="164"/>
      <c r="G405" s="164"/>
      <c r="H405" s="164"/>
      <c r="I405" s="164"/>
      <c r="J405" s="164"/>
      <c r="K405" s="164"/>
      <c r="L405" s="164"/>
      <c r="M405" s="164"/>
      <c r="N405" s="164"/>
      <c r="O405" s="164"/>
      <c r="P405" s="164"/>
      <c r="Q405" s="164"/>
      <c r="R405" s="164"/>
      <c r="S405" s="164"/>
      <c r="T405" s="164"/>
      <c r="U405" s="164"/>
      <c r="V405" s="164"/>
      <c r="W405" s="164"/>
      <c r="X405" s="164"/>
      <c r="Y405" s="164"/>
      <c r="Z405" s="164"/>
    </row>
    <row r="406" ht="13.5" customHeight="1">
      <c r="A406" s="164"/>
      <c r="B406" s="164"/>
      <c r="C406" s="164"/>
      <c r="D406" s="164"/>
      <c r="E406" s="164"/>
      <c r="F406" s="164"/>
      <c r="G406" s="164"/>
      <c r="H406" s="164"/>
      <c r="I406" s="164"/>
      <c r="J406" s="164"/>
      <c r="K406" s="164"/>
      <c r="L406" s="164"/>
      <c r="M406" s="164"/>
      <c r="N406" s="164"/>
      <c r="O406" s="164"/>
      <c r="P406" s="164"/>
      <c r="Q406" s="164"/>
      <c r="R406" s="164"/>
      <c r="S406" s="164"/>
      <c r="T406" s="164"/>
      <c r="U406" s="164"/>
      <c r="V406" s="164"/>
      <c r="W406" s="164"/>
      <c r="X406" s="164"/>
      <c r="Y406" s="164"/>
      <c r="Z406" s="164"/>
    </row>
    <row r="407" ht="13.5" customHeight="1">
      <c r="A407" s="164"/>
      <c r="B407" s="164"/>
      <c r="C407" s="164"/>
      <c r="D407" s="164"/>
      <c r="E407" s="164"/>
      <c r="F407" s="164"/>
      <c r="G407" s="164"/>
      <c r="H407" s="164"/>
      <c r="I407" s="164"/>
      <c r="J407" s="164"/>
      <c r="K407" s="164"/>
      <c r="L407" s="164"/>
      <c r="M407" s="164"/>
      <c r="N407" s="164"/>
      <c r="O407" s="164"/>
      <c r="P407" s="164"/>
      <c r="Q407" s="164"/>
      <c r="R407" s="164"/>
      <c r="S407" s="164"/>
      <c r="T407" s="164"/>
      <c r="U407" s="164"/>
      <c r="V407" s="164"/>
      <c r="W407" s="164"/>
      <c r="X407" s="164"/>
      <c r="Y407" s="164"/>
      <c r="Z407" s="164"/>
    </row>
    <row r="408" ht="13.5" customHeight="1">
      <c r="A408" s="164"/>
      <c r="B408" s="164"/>
      <c r="C408" s="164"/>
      <c r="D408" s="164"/>
      <c r="E408" s="164"/>
      <c r="F408" s="164"/>
      <c r="G408" s="164"/>
      <c r="H408" s="164"/>
      <c r="I408" s="164"/>
      <c r="J408" s="164"/>
      <c r="K408" s="164"/>
      <c r="L408" s="164"/>
      <c r="M408" s="164"/>
      <c r="N408" s="164"/>
      <c r="O408" s="164"/>
      <c r="P408" s="164"/>
      <c r="Q408" s="164"/>
      <c r="R408" s="164"/>
      <c r="S408" s="164"/>
      <c r="T408" s="164"/>
      <c r="U408" s="164"/>
      <c r="V408" s="164"/>
      <c r="W408" s="164"/>
      <c r="X408" s="164"/>
      <c r="Y408" s="164"/>
      <c r="Z408" s="164"/>
    </row>
    <row r="409" ht="13.5" customHeight="1">
      <c r="A409" s="164"/>
      <c r="B409" s="164"/>
      <c r="C409" s="164"/>
      <c r="D409" s="164"/>
      <c r="E409" s="164"/>
      <c r="F409" s="164"/>
      <c r="G409" s="164"/>
      <c r="H409" s="164"/>
      <c r="I409" s="164"/>
      <c r="J409" s="164"/>
      <c r="K409" s="164"/>
      <c r="L409" s="164"/>
      <c r="M409" s="164"/>
      <c r="N409" s="164"/>
      <c r="O409" s="164"/>
      <c r="P409" s="164"/>
      <c r="Q409" s="164"/>
      <c r="R409" s="164"/>
      <c r="S409" s="164"/>
      <c r="T409" s="164"/>
      <c r="U409" s="164"/>
      <c r="V409" s="164"/>
      <c r="W409" s="164"/>
      <c r="X409" s="164"/>
      <c r="Y409" s="164"/>
      <c r="Z409" s="164"/>
    </row>
    <row r="410" ht="13.5" customHeight="1">
      <c r="A410" s="164"/>
      <c r="B410" s="164"/>
      <c r="C410" s="164"/>
      <c r="D410" s="164"/>
      <c r="E410" s="164"/>
      <c r="F410" s="164"/>
      <c r="G410" s="164"/>
      <c r="H410" s="164"/>
      <c r="I410" s="164"/>
      <c r="J410" s="164"/>
      <c r="K410" s="164"/>
      <c r="L410" s="164"/>
      <c r="M410" s="164"/>
      <c r="N410" s="164"/>
      <c r="O410" s="164"/>
      <c r="P410" s="164"/>
      <c r="Q410" s="164"/>
      <c r="R410" s="164"/>
      <c r="S410" s="164"/>
      <c r="T410" s="164"/>
      <c r="U410" s="164"/>
      <c r="V410" s="164"/>
      <c r="W410" s="164"/>
      <c r="X410" s="164"/>
      <c r="Y410" s="164"/>
      <c r="Z410" s="164"/>
    </row>
    <row r="411" ht="13.5" customHeight="1">
      <c r="A411" s="164"/>
      <c r="B411" s="164"/>
      <c r="C411" s="164"/>
      <c r="D411" s="164"/>
      <c r="E411" s="164"/>
      <c r="F411" s="164"/>
      <c r="G411" s="164"/>
      <c r="H411" s="164"/>
      <c r="I411" s="164"/>
      <c r="J411" s="164"/>
      <c r="K411" s="164"/>
      <c r="L411" s="164"/>
      <c r="M411" s="164"/>
      <c r="N411" s="164"/>
      <c r="O411" s="164"/>
      <c r="P411" s="164"/>
      <c r="Q411" s="164"/>
      <c r="R411" s="164"/>
      <c r="S411" s="164"/>
      <c r="T411" s="164"/>
      <c r="U411" s="164"/>
      <c r="V411" s="164"/>
      <c r="W411" s="164"/>
      <c r="X411" s="164"/>
      <c r="Y411" s="164"/>
      <c r="Z411" s="164"/>
    </row>
    <row r="412" ht="13.5" customHeight="1">
      <c r="A412" s="164"/>
      <c r="B412" s="164"/>
      <c r="C412" s="164"/>
      <c r="D412" s="164"/>
      <c r="E412" s="164"/>
      <c r="F412" s="164"/>
      <c r="G412" s="164"/>
      <c r="H412" s="164"/>
      <c r="I412" s="164"/>
      <c r="J412" s="164"/>
      <c r="K412" s="164"/>
      <c r="L412" s="164"/>
      <c r="M412" s="164"/>
      <c r="N412" s="164"/>
      <c r="O412" s="164"/>
      <c r="P412" s="164"/>
      <c r="Q412" s="164"/>
      <c r="R412" s="164"/>
      <c r="S412" s="164"/>
      <c r="T412" s="164"/>
      <c r="U412" s="164"/>
      <c r="V412" s="164"/>
      <c r="W412" s="164"/>
      <c r="X412" s="164"/>
      <c r="Y412" s="164"/>
      <c r="Z412" s="164"/>
    </row>
    <row r="413" ht="13.5" customHeight="1">
      <c r="A413" s="164"/>
      <c r="B413" s="164"/>
      <c r="C413" s="164"/>
      <c r="D413" s="164"/>
      <c r="E413" s="164"/>
      <c r="F413" s="164"/>
      <c r="G413" s="164"/>
      <c r="H413" s="164"/>
      <c r="I413" s="164"/>
      <c r="J413" s="164"/>
      <c r="K413" s="164"/>
      <c r="L413" s="164"/>
      <c r="M413" s="164"/>
      <c r="N413" s="164"/>
      <c r="O413" s="164"/>
      <c r="P413" s="164"/>
      <c r="Q413" s="164"/>
      <c r="R413" s="164"/>
      <c r="S413" s="164"/>
      <c r="T413" s="164"/>
      <c r="U413" s="164"/>
      <c r="V413" s="164"/>
      <c r="W413" s="164"/>
      <c r="X413" s="164"/>
      <c r="Y413" s="164"/>
      <c r="Z413" s="164"/>
    </row>
    <row r="414" ht="13.5" customHeight="1">
      <c r="A414" s="164"/>
      <c r="B414" s="164"/>
      <c r="C414" s="164"/>
      <c r="D414" s="164"/>
      <c r="E414" s="164"/>
      <c r="F414" s="164"/>
      <c r="G414" s="164"/>
      <c r="H414" s="164"/>
      <c r="I414" s="164"/>
      <c r="J414" s="164"/>
      <c r="K414" s="164"/>
      <c r="L414" s="164"/>
      <c r="M414" s="164"/>
      <c r="N414" s="164"/>
      <c r="O414" s="164"/>
      <c r="P414" s="164"/>
      <c r="Q414" s="164"/>
      <c r="R414" s="164"/>
      <c r="S414" s="164"/>
      <c r="T414" s="164"/>
      <c r="U414" s="164"/>
      <c r="V414" s="164"/>
      <c r="W414" s="164"/>
      <c r="X414" s="164"/>
      <c r="Y414" s="164"/>
      <c r="Z414" s="164"/>
    </row>
    <row r="415" ht="13.5" customHeight="1">
      <c r="A415" s="164"/>
      <c r="B415" s="164"/>
      <c r="C415" s="164"/>
      <c r="D415" s="164"/>
      <c r="E415" s="164"/>
      <c r="F415" s="164"/>
      <c r="G415" s="164"/>
      <c r="H415" s="164"/>
      <c r="I415" s="164"/>
      <c r="J415" s="164"/>
      <c r="K415" s="164"/>
      <c r="L415" s="164"/>
      <c r="M415" s="164"/>
      <c r="N415" s="164"/>
      <c r="O415" s="164"/>
      <c r="P415" s="164"/>
      <c r="Q415" s="164"/>
      <c r="R415" s="164"/>
      <c r="S415" s="164"/>
      <c r="T415" s="164"/>
      <c r="U415" s="164"/>
      <c r="V415" s="164"/>
      <c r="W415" s="164"/>
      <c r="X415" s="164"/>
      <c r="Y415" s="164"/>
      <c r="Z415" s="164"/>
    </row>
    <row r="416" ht="13.5" customHeight="1">
      <c r="A416" s="164"/>
      <c r="B416" s="164"/>
      <c r="C416" s="164"/>
      <c r="D416" s="164"/>
      <c r="E416" s="164"/>
      <c r="F416" s="164"/>
      <c r="G416" s="164"/>
      <c r="H416" s="164"/>
      <c r="I416" s="164"/>
      <c r="J416" s="164"/>
      <c r="K416" s="164"/>
      <c r="L416" s="164"/>
      <c r="M416" s="164"/>
      <c r="N416" s="164"/>
      <c r="O416" s="164"/>
      <c r="P416" s="164"/>
      <c r="Q416" s="164"/>
      <c r="R416" s="164"/>
      <c r="S416" s="164"/>
      <c r="T416" s="164"/>
      <c r="U416" s="164"/>
      <c r="V416" s="164"/>
      <c r="W416" s="164"/>
      <c r="X416" s="164"/>
      <c r="Y416" s="164"/>
      <c r="Z416" s="164"/>
    </row>
    <row r="417" ht="13.5" customHeight="1">
      <c r="A417" s="164"/>
      <c r="B417" s="164"/>
      <c r="C417" s="164"/>
      <c r="D417" s="164"/>
      <c r="E417" s="164"/>
      <c r="F417" s="164"/>
      <c r="G417" s="164"/>
      <c r="H417" s="164"/>
      <c r="I417" s="164"/>
      <c r="J417" s="164"/>
      <c r="K417" s="164"/>
      <c r="L417" s="164"/>
      <c r="M417" s="164"/>
      <c r="N417" s="164"/>
      <c r="O417" s="164"/>
      <c r="P417" s="164"/>
      <c r="Q417" s="164"/>
      <c r="R417" s="164"/>
      <c r="S417" s="164"/>
      <c r="T417" s="164"/>
      <c r="U417" s="164"/>
      <c r="V417" s="164"/>
      <c r="W417" s="164"/>
      <c r="X417" s="164"/>
      <c r="Y417" s="164"/>
      <c r="Z417" s="164"/>
    </row>
    <row r="418" ht="13.5" customHeight="1">
      <c r="A418" s="164"/>
      <c r="B418" s="164"/>
      <c r="C418" s="164"/>
      <c r="D418" s="164"/>
      <c r="E418" s="164"/>
      <c r="F418" s="164"/>
      <c r="G418" s="164"/>
      <c r="H418" s="164"/>
      <c r="I418" s="164"/>
      <c r="J418" s="164"/>
      <c r="K418" s="164"/>
      <c r="L418" s="164"/>
      <c r="M418" s="164"/>
      <c r="N418" s="164"/>
      <c r="O418" s="164"/>
      <c r="P418" s="164"/>
      <c r="Q418" s="164"/>
      <c r="R418" s="164"/>
      <c r="S418" s="164"/>
      <c r="T418" s="164"/>
      <c r="U418" s="164"/>
      <c r="V418" s="164"/>
      <c r="W418" s="164"/>
      <c r="X418" s="164"/>
      <c r="Y418" s="164"/>
      <c r="Z418" s="164"/>
    </row>
    <row r="419" ht="13.5" customHeight="1">
      <c r="A419" s="164"/>
      <c r="B419" s="164"/>
      <c r="C419" s="164"/>
      <c r="D419" s="164"/>
      <c r="E419" s="164"/>
      <c r="F419" s="164"/>
      <c r="G419" s="164"/>
      <c r="H419" s="164"/>
      <c r="I419" s="164"/>
      <c r="J419" s="164"/>
      <c r="K419" s="164"/>
      <c r="L419" s="164"/>
      <c r="M419" s="164"/>
      <c r="N419" s="164"/>
      <c r="O419" s="164"/>
      <c r="P419" s="164"/>
      <c r="Q419" s="164"/>
      <c r="R419" s="164"/>
      <c r="S419" s="164"/>
      <c r="T419" s="164"/>
      <c r="U419" s="164"/>
      <c r="V419" s="164"/>
      <c r="W419" s="164"/>
      <c r="X419" s="164"/>
      <c r="Y419" s="164"/>
      <c r="Z419" s="164"/>
    </row>
    <row r="420" ht="13.5" customHeight="1">
      <c r="A420" s="164"/>
      <c r="B420" s="164"/>
      <c r="C420" s="164"/>
      <c r="D420" s="164"/>
      <c r="E420" s="164"/>
      <c r="F420" s="164"/>
      <c r="G420" s="164"/>
      <c r="H420" s="164"/>
      <c r="I420" s="164"/>
      <c r="J420" s="164"/>
      <c r="K420" s="164"/>
      <c r="L420" s="164"/>
      <c r="M420" s="164"/>
      <c r="N420" s="164"/>
      <c r="O420" s="164"/>
      <c r="P420" s="164"/>
      <c r="Q420" s="164"/>
      <c r="R420" s="164"/>
      <c r="S420" s="164"/>
      <c r="T420" s="164"/>
      <c r="U420" s="164"/>
      <c r="V420" s="164"/>
      <c r="W420" s="164"/>
      <c r="X420" s="164"/>
      <c r="Y420" s="164"/>
      <c r="Z420" s="164"/>
    </row>
    <row r="421" ht="13.5" customHeight="1">
      <c r="A421" s="164"/>
      <c r="B421" s="164"/>
      <c r="C421" s="164"/>
      <c r="D421" s="164"/>
      <c r="E421" s="164"/>
      <c r="F421" s="164"/>
      <c r="G421" s="164"/>
      <c r="H421" s="164"/>
      <c r="I421" s="164"/>
      <c r="J421" s="164"/>
      <c r="K421" s="164"/>
      <c r="L421" s="164"/>
      <c r="M421" s="164"/>
      <c r="N421" s="164"/>
      <c r="O421" s="164"/>
      <c r="P421" s="164"/>
      <c r="Q421" s="164"/>
      <c r="R421" s="164"/>
      <c r="S421" s="164"/>
      <c r="T421" s="164"/>
      <c r="U421" s="164"/>
      <c r="V421" s="164"/>
      <c r="W421" s="164"/>
      <c r="X421" s="164"/>
      <c r="Y421" s="164"/>
      <c r="Z421" s="164"/>
    </row>
    <row r="422" ht="13.5" customHeight="1">
      <c r="A422" s="164"/>
      <c r="B422" s="164"/>
      <c r="C422" s="164"/>
      <c r="D422" s="164"/>
      <c r="E422" s="164"/>
      <c r="F422" s="164"/>
      <c r="G422" s="164"/>
      <c r="H422" s="164"/>
      <c r="I422" s="164"/>
      <c r="J422" s="164"/>
      <c r="K422" s="164"/>
      <c r="L422" s="164"/>
      <c r="M422" s="164"/>
      <c r="N422" s="164"/>
      <c r="O422" s="164"/>
      <c r="P422" s="164"/>
      <c r="Q422" s="164"/>
      <c r="R422" s="164"/>
      <c r="S422" s="164"/>
      <c r="T422" s="164"/>
      <c r="U422" s="164"/>
      <c r="V422" s="164"/>
      <c r="W422" s="164"/>
      <c r="X422" s="164"/>
      <c r="Y422" s="164"/>
      <c r="Z422" s="164"/>
    </row>
    <row r="423" ht="13.5" customHeight="1">
      <c r="A423" s="164"/>
      <c r="B423" s="164"/>
      <c r="C423" s="164"/>
      <c r="D423" s="164"/>
      <c r="E423" s="164"/>
      <c r="F423" s="164"/>
      <c r="G423" s="164"/>
      <c r="H423" s="164"/>
      <c r="I423" s="164"/>
      <c r="J423" s="164"/>
      <c r="K423" s="164"/>
      <c r="L423" s="164"/>
      <c r="M423" s="164"/>
      <c r="N423" s="164"/>
      <c r="O423" s="164"/>
      <c r="P423" s="164"/>
      <c r="Q423" s="164"/>
      <c r="R423" s="164"/>
      <c r="S423" s="164"/>
      <c r="T423" s="164"/>
      <c r="U423" s="164"/>
      <c r="V423" s="164"/>
      <c r="W423" s="164"/>
      <c r="X423" s="164"/>
      <c r="Y423" s="164"/>
      <c r="Z423" s="164"/>
    </row>
    <row r="424" ht="13.5" customHeight="1">
      <c r="A424" s="164"/>
      <c r="B424" s="164"/>
      <c r="C424" s="164"/>
      <c r="D424" s="164"/>
      <c r="E424" s="164"/>
      <c r="F424" s="164"/>
      <c r="G424" s="164"/>
      <c r="H424" s="164"/>
      <c r="I424" s="164"/>
      <c r="J424" s="164"/>
      <c r="K424" s="164"/>
      <c r="L424" s="164"/>
      <c r="M424" s="164"/>
      <c r="N424" s="164"/>
      <c r="O424" s="164"/>
      <c r="P424" s="164"/>
      <c r="Q424" s="164"/>
      <c r="R424" s="164"/>
      <c r="S424" s="164"/>
      <c r="T424" s="164"/>
      <c r="U424" s="164"/>
      <c r="V424" s="164"/>
      <c r="W424" s="164"/>
      <c r="X424" s="164"/>
      <c r="Y424" s="164"/>
      <c r="Z424" s="164"/>
    </row>
    <row r="425" ht="13.5" customHeight="1">
      <c r="A425" s="164"/>
      <c r="B425" s="164"/>
      <c r="C425" s="164"/>
      <c r="D425" s="164"/>
      <c r="E425" s="164"/>
      <c r="F425" s="164"/>
      <c r="G425" s="164"/>
      <c r="H425" s="164"/>
      <c r="I425" s="164"/>
      <c r="J425" s="164"/>
      <c r="K425" s="164"/>
      <c r="L425" s="164"/>
      <c r="M425" s="164"/>
      <c r="N425" s="164"/>
      <c r="O425" s="164"/>
      <c r="P425" s="164"/>
      <c r="Q425" s="164"/>
      <c r="R425" s="164"/>
      <c r="S425" s="164"/>
      <c r="T425" s="164"/>
      <c r="U425" s="164"/>
      <c r="V425" s="164"/>
      <c r="W425" s="164"/>
      <c r="X425" s="164"/>
      <c r="Y425" s="164"/>
      <c r="Z425" s="164"/>
    </row>
    <row r="426" ht="13.5" customHeight="1">
      <c r="A426" s="164"/>
      <c r="B426" s="164"/>
      <c r="C426" s="164"/>
      <c r="D426" s="164"/>
      <c r="E426" s="164"/>
      <c r="F426" s="164"/>
      <c r="G426" s="164"/>
      <c r="H426" s="164"/>
      <c r="I426" s="164"/>
      <c r="J426" s="164"/>
      <c r="K426" s="164"/>
      <c r="L426" s="164"/>
      <c r="M426" s="164"/>
      <c r="N426" s="164"/>
      <c r="O426" s="164"/>
      <c r="P426" s="164"/>
      <c r="Q426" s="164"/>
      <c r="R426" s="164"/>
      <c r="S426" s="164"/>
      <c r="T426" s="164"/>
      <c r="U426" s="164"/>
      <c r="V426" s="164"/>
      <c r="W426" s="164"/>
      <c r="X426" s="164"/>
      <c r="Y426" s="164"/>
      <c r="Z426" s="164"/>
    </row>
    <row r="427" ht="13.5" customHeight="1">
      <c r="A427" s="164"/>
      <c r="B427" s="164"/>
      <c r="C427" s="164"/>
      <c r="D427" s="164"/>
      <c r="E427" s="164"/>
      <c r="F427" s="164"/>
      <c r="G427" s="164"/>
      <c r="H427" s="164"/>
      <c r="I427" s="164"/>
      <c r="J427" s="164"/>
      <c r="K427" s="164"/>
      <c r="L427" s="164"/>
      <c r="M427" s="164"/>
      <c r="N427" s="164"/>
      <c r="O427" s="164"/>
      <c r="P427" s="164"/>
      <c r="Q427" s="164"/>
      <c r="R427" s="164"/>
      <c r="S427" s="164"/>
      <c r="T427" s="164"/>
      <c r="U427" s="164"/>
      <c r="V427" s="164"/>
      <c r="W427" s="164"/>
      <c r="X427" s="164"/>
      <c r="Y427" s="164"/>
      <c r="Z427" s="164"/>
    </row>
    <row r="428" ht="13.5" customHeight="1">
      <c r="A428" s="164"/>
      <c r="B428" s="164"/>
      <c r="C428" s="164"/>
      <c r="D428" s="164"/>
      <c r="E428" s="164"/>
      <c r="F428" s="164"/>
      <c r="G428" s="164"/>
      <c r="H428" s="164"/>
      <c r="I428" s="164"/>
      <c r="J428" s="164"/>
      <c r="K428" s="164"/>
      <c r="L428" s="164"/>
      <c r="M428" s="164"/>
      <c r="N428" s="164"/>
      <c r="O428" s="164"/>
      <c r="P428" s="164"/>
      <c r="Q428" s="164"/>
      <c r="R428" s="164"/>
      <c r="S428" s="164"/>
      <c r="T428" s="164"/>
      <c r="U428" s="164"/>
      <c r="V428" s="164"/>
      <c r="W428" s="164"/>
      <c r="X428" s="164"/>
      <c r="Y428" s="164"/>
      <c r="Z428" s="164"/>
    </row>
    <row r="429" ht="13.5" customHeight="1">
      <c r="A429" s="164"/>
      <c r="B429" s="164"/>
      <c r="C429" s="164"/>
      <c r="D429" s="164"/>
      <c r="E429" s="164"/>
      <c r="F429" s="164"/>
      <c r="G429" s="164"/>
      <c r="H429" s="164"/>
      <c r="I429" s="164"/>
      <c r="J429" s="164"/>
      <c r="K429" s="164"/>
      <c r="L429" s="164"/>
      <c r="M429" s="164"/>
      <c r="N429" s="164"/>
      <c r="O429" s="164"/>
      <c r="P429" s="164"/>
      <c r="Q429" s="164"/>
      <c r="R429" s="164"/>
      <c r="S429" s="164"/>
      <c r="T429" s="164"/>
      <c r="U429" s="164"/>
      <c r="V429" s="164"/>
      <c r="W429" s="164"/>
      <c r="X429" s="164"/>
      <c r="Y429" s="164"/>
      <c r="Z429" s="164"/>
    </row>
    <row r="430" ht="13.5" customHeight="1">
      <c r="A430" s="164"/>
      <c r="B430" s="164"/>
      <c r="C430" s="164"/>
      <c r="D430" s="164"/>
      <c r="E430" s="164"/>
      <c r="F430" s="164"/>
      <c r="G430" s="164"/>
      <c r="H430" s="164"/>
      <c r="I430" s="164"/>
      <c r="J430" s="164"/>
      <c r="K430" s="164"/>
      <c r="L430" s="164"/>
      <c r="M430" s="164"/>
      <c r="N430" s="164"/>
      <c r="O430" s="164"/>
      <c r="P430" s="164"/>
      <c r="Q430" s="164"/>
      <c r="R430" s="164"/>
      <c r="S430" s="164"/>
      <c r="T430" s="164"/>
      <c r="U430" s="164"/>
      <c r="V430" s="164"/>
      <c r="W430" s="164"/>
      <c r="X430" s="164"/>
      <c r="Y430" s="164"/>
      <c r="Z430" s="164"/>
    </row>
    <row r="431" ht="13.5" customHeight="1">
      <c r="A431" s="164"/>
      <c r="B431" s="164"/>
      <c r="C431" s="164"/>
      <c r="D431" s="164"/>
      <c r="E431" s="164"/>
      <c r="F431" s="164"/>
      <c r="G431" s="164"/>
      <c r="H431" s="164"/>
      <c r="I431" s="164"/>
      <c r="J431" s="164"/>
      <c r="K431" s="164"/>
      <c r="L431" s="164"/>
      <c r="M431" s="164"/>
      <c r="N431" s="164"/>
      <c r="O431" s="164"/>
      <c r="P431" s="164"/>
      <c r="Q431" s="164"/>
      <c r="R431" s="164"/>
      <c r="S431" s="164"/>
      <c r="T431" s="164"/>
      <c r="U431" s="164"/>
      <c r="V431" s="164"/>
      <c r="W431" s="164"/>
      <c r="X431" s="164"/>
      <c r="Y431" s="164"/>
      <c r="Z431" s="164"/>
    </row>
    <row r="432" ht="13.5" customHeight="1">
      <c r="A432" s="164"/>
      <c r="B432" s="164"/>
      <c r="C432" s="164"/>
      <c r="D432" s="164"/>
      <c r="E432" s="164"/>
      <c r="F432" s="164"/>
      <c r="G432" s="164"/>
      <c r="H432" s="164"/>
      <c r="I432" s="164"/>
      <c r="J432" s="164"/>
      <c r="K432" s="164"/>
      <c r="L432" s="164"/>
      <c r="M432" s="164"/>
      <c r="N432" s="164"/>
      <c r="O432" s="164"/>
      <c r="P432" s="164"/>
      <c r="Q432" s="164"/>
      <c r="R432" s="164"/>
      <c r="S432" s="164"/>
      <c r="T432" s="164"/>
      <c r="U432" s="164"/>
      <c r="V432" s="164"/>
      <c r="W432" s="164"/>
      <c r="X432" s="164"/>
      <c r="Y432" s="164"/>
      <c r="Z432" s="164"/>
    </row>
    <row r="433" ht="13.5" customHeight="1">
      <c r="A433" s="164"/>
      <c r="B433" s="164"/>
      <c r="C433" s="164"/>
      <c r="D433" s="164"/>
      <c r="E433" s="164"/>
      <c r="F433" s="164"/>
      <c r="G433" s="164"/>
      <c r="H433" s="164"/>
      <c r="I433" s="164"/>
      <c r="J433" s="164"/>
      <c r="K433" s="164"/>
      <c r="L433" s="164"/>
      <c r="M433" s="164"/>
      <c r="N433" s="164"/>
      <c r="O433" s="164"/>
      <c r="P433" s="164"/>
      <c r="Q433" s="164"/>
      <c r="R433" s="164"/>
      <c r="S433" s="164"/>
      <c r="T433" s="164"/>
      <c r="U433" s="164"/>
      <c r="V433" s="164"/>
      <c r="W433" s="164"/>
      <c r="X433" s="164"/>
      <c r="Y433" s="164"/>
      <c r="Z433" s="164"/>
    </row>
    <row r="434" ht="13.5" customHeight="1">
      <c r="A434" s="164"/>
      <c r="B434" s="164"/>
      <c r="C434" s="164"/>
      <c r="D434" s="164"/>
      <c r="E434" s="164"/>
      <c r="F434" s="164"/>
      <c r="G434" s="164"/>
      <c r="H434" s="164"/>
      <c r="I434" s="164"/>
      <c r="J434" s="164"/>
      <c r="K434" s="164"/>
      <c r="L434" s="164"/>
      <c r="M434" s="164"/>
      <c r="N434" s="164"/>
      <c r="O434" s="164"/>
      <c r="P434" s="164"/>
      <c r="Q434" s="164"/>
      <c r="R434" s="164"/>
      <c r="S434" s="164"/>
      <c r="T434" s="164"/>
      <c r="U434" s="164"/>
      <c r="V434" s="164"/>
      <c r="W434" s="164"/>
      <c r="X434" s="164"/>
      <c r="Y434" s="164"/>
      <c r="Z434" s="164"/>
    </row>
    <row r="435" ht="13.5" customHeight="1">
      <c r="A435" s="164"/>
      <c r="B435" s="164"/>
      <c r="C435" s="164"/>
      <c r="D435" s="164"/>
      <c r="E435" s="164"/>
      <c r="F435" s="164"/>
      <c r="G435" s="164"/>
      <c r="H435" s="164"/>
      <c r="I435" s="164"/>
      <c r="J435" s="164"/>
      <c r="K435" s="164"/>
      <c r="L435" s="164"/>
      <c r="M435" s="164"/>
      <c r="N435" s="164"/>
      <c r="O435" s="164"/>
      <c r="P435" s="164"/>
      <c r="Q435" s="164"/>
      <c r="R435" s="164"/>
      <c r="S435" s="164"/>
      <c r="T435" s="164"/>
      <c r="U435" s="164"/>
      <c r="V435" s="164"/>
      <c r="W435" s="164"/>
      <c r="X435" s="164"/>
      <c r="Y435" s="164"/>
      <c r="Z435" s="164"/>
    </row>
    <row r="436" ht="13.5" customHeight="1">
      <c r="A436" s="164"/>
      <c r="B436" s="164"/>
      <c r="C436" s="164"/>
      <c r="D436" s="164"/>
      <c r="E436" s="164"/>
      <c r="F436" s="164"/>
      <c r="G436" s="164"/>
      <c r="H436" s="164"/>
      <c r="I436" s="164"/>
      <c r="J436" s="164"/>
      <c r="K436" s="164"/>
      <c r="L436" s="164"/>
      <c r="M436" s="164"/>
      <c r="N436" s="164"/>
      <c r="O436" s="164"/>
      <c r="P436" s="164"/>
      <c r="Q436" s="164"/>
      <c r="R436" s="164"/>
      <c r="S436" s="164"/>
      <c r="T436" s="164"/>
      <c r="U436" s="164"/>
      <c r="V436" s="164"/>
      <c r="W436" s="164"/>
      <c r="X436" s="164"/>
      <c r="Y436" s="164"/>
      <c r="Z436" s="164"/>
    </row>
    <row r="437" ht="13.5" customHeight="1">
      <c r="A437" s="164"/>
      <c r="B437" s="164"/>
      <c r="C437" s="164"/>
      <c r="D437" s="164"/>
      <c r="E437" s="164"/>
      <c r="F437" s="164"/>
      <c r="G437" s="164"/>
      <c r="H437" s="164"/>
      <c r="I437" s="164"/>
      <c r="J437" s="164"/>
      <c r="K437" s="164"/>
      <c r="L437" s="164"/>
      <c r="M437" s="164"/>
      <c r="N437" s="164"/>
      <c r="O437" s="164"/>
      <c r="P437" s="164"/>
      <c r="Q437" s="164"/>
      <c r="R437" s="164"/>
      <c r="S437" s="164"/>
      <c r="T437" s="164"/>
      <c r="U437" s="164"/>
      <c r="V437" s="164"/>
      <c r="W437" s="164"/>
      <c r="X437" s="164"/>
      <c r="Y437" s="164"/>
      <c r="Z437" s="164"/>
    </row>
    <row r="438" ht="13.5" customHeight="1">
      <c r="A438" s="164"/>
      <c r="B438" s="164"/>
      <c r="C438" s="164"/>
      <c r="D438" s="164"/>
      <c r="E438" s="164"/>
      <c r="F438" s="164"/>
      <c r="G438" s="164"/>
      <c r="H438" s="164"/>
      <c r="I438" s="164"/>
      <c r="J438" s="164"/>
      <c r="K438" s="164"/>
      <c r="L438" s="164"/>
      <c r="M438" s="164"/>
      <c r="N438" s="164"/>
      <c r="O438" s="164"/>
      <c r="P438" s="164"/>
      <c r="Q438" s="164"/>
      <c r="R438" s="164"/>
      <c r="S438" s="164"/>
      <c r="T438" s="164"/>
      <c r="U438" s="164"/>
      <c r="V438" s="164"/>
      <c r="W438" s="164"/>
      <c r="X438" s="164"/>
      <c r="Y438" s="164"/>
      <c r="Z438" s="164"/>
    </row>
    <row r="439" ht="13.5" customHeight="1">
      <c r="A439" s="164"/>
      <c r="B439" s="164"/>
      <c r="C439" s="164"/>
      <c r="D439" s="164"/>
      <c r="E439" s="164"/>
      <c r="F439" s="164"/>
      <c r="G439" s="164"/>
      <c r="H439" s="164"/>
      <c r="I439" s="164"/>
      <c r="J439" s="164"/>
      <c r="K439" s="164"/>
      <c r="L439" s="164"/>
      <c r="M439" s="164"/>
      <c r="N439" s="164"/>
      <c r="O439" s="164"/>
      <c r="P439" s="164"/>
      <c r="Q439" s="164"/>
      <c r="R439" s="164"/>
      <c r="S439" s="164"/>
      <c r="T439" s="164"/>
      <c r="U439" s="164"/>
      <c r="V439" s="164"/>
      <c r="W439" s="164"/>
      <c r="X439" s="164"/>
      <c r="Y439" s="164"/>
      <c r="Z439" s="164"/>
    </row>
    <row r="440" ht="13.5" customHeight="1">
      <c r="A440" s="164"/>
      <c r="B440" s="164"/>
      <c r="C440" s="164"/>
      <c r="D440" s="164"/>
      <c r="E440" s="164"/>
      <c r="F440" s="164"/>
      <c r="G440" s="164"/>
      <c r="H440" s="164"/>
      <c r="I440" s="164"/>
      <c r="J440" s="164"/>
      <c r="K440" s="164"/>
      <c r="L440" s="164"/>
      <c r="M440" s="164"/>
      <c r="N440" s="164"/>
      <c r="O440" s="164"/>
      <c r="P440" s="164"/>
      <c r="Q440" s="164"/>
      <c r="R440" s="164"/>
      <c r="S440" s="164"/>
      <c r="T440" s="164"/>
      <c r="U440" s="164"/>
      <c r="V440" s="164"/>
      <c r="W440" s="164"/>
      <c r="X440" s="164"/>
      <c r="Y440" s="164"/>
      <c r="Z440" s="164"/>
    </row>
    <row r="441" ht="13.5" customHeight="1">
      <c r="A441" s="164"/>
      <c r="B441" s="164"/>
      <c r="C441" s="164"/>
      <c r="D441" s="164"/>
      <c r="E441" s="164"/>
      <c r="F441" s="164"/>
      <c r="G441" s="164"/>
      <c r="H441" s="164"/>
      <c r="I441" s="164"/>
      <c r="J441" s="164"/>
      <c r="K441" s="164"/>
      <c r="L441" s="164"/>
      <c r="M441" s="164"/>
      <c r="N441" s="164"/>
      <c r="O441" s="164"/>
      <c r="P441" s="164"/>
      <c r="Q441" s="164"/>
      <c r="R441" s="164"/>
      <c r="S441" s="164"/>
      <c r="T441" s="164"/>
      <c r="U441" s="164"/>
      <c r="V441" s="164"/>
      <c r="W441" s="164"/>
      <c r="X441" s="164"/>
      <c r="Y441" s="164"/>
      <c r="Z441" s="164"/>
    </row>
    <row r="442" ht="13.5" customHeight="1">
      <c r="A442" s="164"/>
      <c r="B442" s="164"/>
      <c r="C442" s="164"/>
      <c r="D442" s="164"/>
      <c r="E442" s="164"/>
      <c r="F442" s="164"/>
      <c r="G442" s="164"/>
      <c r="H442" s="164"/>
      <c r="I442" s="164"/>
      <c r="J442" s="164"/>
      <c r="K442" s="164"/>
      <c r="L442" s="164"/>
      <c r="M442" s="164"/>
      <c r="N442" s="164"/>
      <c r="O442" s="164"/>
      <c r="P442" s="164"/>
      <c r="Q442" s="164"/>
      <c r="R442" s="164"/>
      <c r="S442" s="164"/>
      <c r="T442" s="164"/>
      <c r="U442" s="164"/>
      <c r="V442" s="164"/>
      <c r="W442" s="164"/>
      <c r="X442" s="164"/>
      <c r="Y442" s="164"/>
      <c r="Z442" s="164"/>
    </row>
    <row r="443" ht="13.5" customHeight="1">
      <c r="A443" s="164"/>
      <c r="B443" s="164"/>
      <c r="C443" s="164"/>
      <c r="D443" s="164"/>
      <c r="E443" s="164"/>
      <c r="F443" s="164"/>
      <c r="G443" s="164"/>
      <c r="H443" s="164"/>
      <c r="I443" s="164"/>
      <c r="J443" s="164"/>
      <c r="K443" s="164"/>
      <c r="L443" s="164"/>
      <c r="M443" s="164"/>
      <c r="N443" s="164"/>
      <c r="O443" s="164"/>
      <c r="P443" s="164"/>
      <c r="Q443" s="164"/>
      <c r="R443" s="164"/>
      <c r="S443" s="164"/>
      <c r="T443" s="164"/>
      <c r="U443" s="164"/>
      <c r="V443" s="164"/>
      <c r="W443" s="164"/>
      <c r="X443" s="164"/>
      <c r="Y443" s="164"/>
      <c r="Z443" s="164"/>
    </row>
    <row r="444" ht="13.5" customHeight="1">
      <c r="A444" s="164"/>
      <c r="B444" s="164"/>
      <c r="C444" s="164"/>
      <c r="D444" s="164"/>
      <c r="E444" s="164"/>
      <c r="F444" s="164"/>
      <c r="G444" s="164"/>
      <c r="H444" s="164"/>
      <c r="I444" s="164"/>
      <c r="J444" s="164"/>
      <c r="K444" s="164"/>
      <c r="L444" s="164"/>
      <c r="M444" s="164"/>
      <c r="N444" s="164"/>
      <c r="O444" s="164"/>
      <c r="P444" s="164"/>
      <c r="Q444" s="164"/>
      <c r="R444" s="164"/>
      <c r="S444" s="164"/>
      <c r="T444" s="164"/>
      <c r="U444" s="164"/>
      <c r="V444" s="164"/>
      <c r="W444" s="164"/>
      <c r="X444" s="164"/>
      <c r="Y444" s="164"/>
      <c r="Z444" s="164"/>
    </row>
    <row r="445" ht="13.5" customHeight="1">
      <c r="A445" s="164"/>
      <c r="B445" s="164"/>
      <c r="C445" s="164"/>
      <c r="D445" s="164"/>
      <c r="E445" s="164"/>
      <c r="F445" s="164"/>
      <c r="G445" s="164"/>
      <c r="H445" s="164"/>
      <c r="I445" s="164"/>
      <c r="J445" s="164"/>
      <c r="K445" s="164"/>
      <c r="L445" s="164"/>
      <c r="M445" s="164"/>
      <c r="N445" s="164"/>
      <c r="O445" s="164"/>
      <c r="P445" s="164"/>
      <c r="Q445" s="164"/>
      <c r="R445" s="164"/>
      <c r="S445" s="164"/>
      <c r="T445" s="164"/>
      <c r="U445" s="164"/>
      <c r="V445" s="164"/>
      <c r="W445" s="164"/>
      <c r="X445" s="164"/>
      <c r="Y445" s="164"/>
      <c r="Z445" s="164"/>
    </row>
    <row r="446" ht="13.5" customHeight="1">
      <c r="A446" s="164"/>
      <c r="B446" s="164"/>
      <c r="C446" s="164"/>
      <c r="D446" s="164"/>
      <c r="E446" s="164"/>
      <c r="F446" s="164"/>
      <c r="G446" s="164"/>
      <c r="H446" s="164"/>
      <c r="I446" s="164"/>
      <c r="J446" s="164"/>
      <c r="K446" s="164"/>
      <c r="L446" s="164"/>
      <c r="M446" s="164"/>
      <c r="N446" s="164"/>
      <c r="O446" s="164"/>
      <c r="P446" s="164"/>
      <c r="Q446" s="164"/>
      <c r="R446" s="164"/>
      <c r="S446" s="164"/>
      <c r="T446" s="164"/>
      <c r="U446" s="164"/>
      <c r="V446" s="164"/>
      <c r="W446" s="164"/>
      <c r="X446" s="164"/>
      <c r="Y446" s="164"/>
      <c r="Z446" s="164"/>
    </row>
    <row r="447" ht="13.5" customHeight="1">
      <c r="A447" s="164"/>
      <c r="B447" s="164"/>
      <c r="C447" s="164"/>
      <c r="D447" s="164"/>
      <c r="E447" s="164"/>
      <c r="F447" s="164"/>
      <c r="G447" s="164"/>
      <c r="H447" s="164"/>
      <c r="I447" s="164"/>
      <c r="J447" s="164"/>
      <c r="K447" s="164"/>
      <c r="L447" s="164"/>
      <c r="M447" s="164"/>
      <c r="N447" s="164"/>
      <c r="O447" s="164"/>
      <c r="P447" s="164"/>
      <c r="Q447" s="164"/>
      <c r="R447" s="164"/>
      <c r="S447" s="164"/>
      <c r="T447" s="164"/>
      <c r="U447" s="164"/>
      <c r="V447" s="164"/>
      <c r="W447" s="164"/>
      <c r="X447" s="164"/>
      <c r="Y447" s="164"/>
      <c r="Z447" s="164"/>
    </row>
    <row r="448" ht="13.5" customHeight="1">
      <c r="A448" s="164"/>
      <c r="B448" s="164"/>
      <c r="C448" s="164"/>
      <c r="D448" s="164"/>
      <c r="E448" s="164"/>
      <c r="F448" s="164"/>
      <c r="G448" s="164"/>
      <c r="H448" s="164"/>
      <c r="I448" s="164"/>
      <c r="J448" s="164"/>
      <c r="K448" s="164"/>
      <c r="L448" s="164"/>
      <c r="M448" s="164"/>
      <c r="N448" s="164"/>
      <c r="O448" s="164"/>
      <c r="P448" s="164"/>
      <c r="Q448" s="164"/>
      <c r="R448" s="164"/>
      <c r="S448" s="164"/>
      <c r="T448" s="164"/>
      <c r="U448" s="164"/>
      <c r="V448" s="164"/>
      <c r="W448" s="164"/>
      <c r="X448" s="164"/>
      <c r="Y448" s="164"/>
      <c r="Z448" s="164"/>
    </row>
    <row r="449" ht="13.5" customHeight="1">
      <c r="A449" s="164"/>
      <c r="B449" s="164"/>
      <c r="C449" s="164"/>
      <c r="D449" s="164"/>
      <c r="E449" s="164"/>
      <c r="F449" s="164"/>
      <c r="G449" s="164"/>
      <c r="H449" s="164"/>
      <c r="I449" s="164"/>
      <c r="J449" s="164"/>
      <c r="K449" s="164"/>
      <c r="L449" s="164"/>
      <c r="M449" s="164"/>
      <c r="N449" s="164"/>
      <c r="O449" s="164"/>
      <c r="P449" s="164"/>
      <c r="Q449" s="164"/>
      <c r="R449" s="164"/>
      <c r="S449" s="164"/>
      <c r="T449" s="164"/>
      <c r="U449" s="164"/>
      <c r="V449" s="164"/>
      <c r="W449" s="164"/>
      <c r="X449" s="164"/>
      <c r="Y449" s="164"/>
      <c r="Z449" s="164"/>
    </row>
    <row r="450" ht="13.5" customHeight="1">
      <c r="A450" s="164"/>
      <c r="B450" s="164"/>
      <c r="C450" s="164"/>
      <c r="D450" s="164"/>
      <c r="E450" s="164"/>
      <c r="F450" s="164"/>
      <c r="G450" s="164"/>
      <c r="H450" s="164"/>
      <c r="I450" s="164"/>
      <c r="J450" s="164"/>
      <c r="K450" s="164"/>
      <c r="L450" s="164"/>
      <c r="M450" s="164"/>
      <c r="N450" s="164"/>
      <c r="O450" s="164"/>
      <c r="P450" s="164"/>
      <c r="Q450" s="164"/>
      <c r="R450" s="164"/>
      <c r="S450" s="164"/>
      <c r="T450" s="164"/>
      <c r="U450" s="164"/>
      <c r="V450" s="164"/>
      <c r="W450" s="164"/>
      <c r="X450" s="164"/>
      <c r="Y450" s="164"/>
      <c r="Z450" s="164"/>
    </row>
    <row r="451" ht="13.5" customHeight="1">
      <c r="A451" s="164"/>
      <c r="B451" s="164"/>
      <c r="C451" s="164"/>
      <c r="D451" s="164"/>
      <c r="E451" s="164"/>
      <c r="F451" s="164"/>
      <c r="G451" s="164"/>
      <c r="H451" s="164"/>
      <c r="I451" s="164"/>
      <c r="J451" s="164"/>
      <c r="K451" s="164"/>
      <c r="L451" s="164"/>
      <c r="M451" s="164"/>
      <c r="N451" s="164"/>
      <c r="O451" s="164"/>
      <c r="P451" s="164"/>
      <c r="Q451" s="164"/>
      <c r="R451" s="164"/>
      <c r="S451" s="164"/>
      <c r="T451" s="164"/>
      <c r="U451" s="164"/>
      <c r="V451" s="164"/>
      <c r="W451" s="164"/>
      <c r="X451" s="164"/>
      <c r="Y451" s="164"/>
      <c r="Z451" s="164"/>
    </row>
    <row r="452" ht="13.5" customHeight="1">
      <c r="A452" s="164"/>
      <c r="B452" s="164"/>
      <c r="C452" s="164"/>
      <c r="D452" s="164"/>
      <c r="E452" s="164"/>
      <c r="F452" s="164"/>
      <c r="G452" s="164"/>
      <c r="H452" s="164"/>
      <c r="I452" s="164"/>
      <c r="J452" s="164"/>
      <c r="K452" s="164"/>
      <c r="L452" s="164"/>
      <c r="M452" s="164"/>
      <c r="N452" s="164"/>
      <c r="O452" s="164"/>
      <c r="P452" s="164"/>
      <c r="Q452" s="164"/>
      <c r="R452" s="164"/>
      <c r="S452" s="164"/>
      <c r="T452" s="164"/>
      <c r="U452" s="164"/>
      <c r="V452" s="164"/>
      <c r="W452" s="164"/>
      <c r="X452" s="164"/>
      <c r="Y452" s="164"/>
      <c r="Z452" s="164"/>
    </row>
    <row r="453" ht="13.5" customHeight="1">
      <c r="A453" s="164"/>
      <c r="B453" s="164"/>
      <c r="C453" s="164"/>
      <c r="D453" s="164"/>
      <c r="E453" s="164"/>
      <c r="F453" s="164"/>
      <c r="G453" s="164"/>
      <c r="H453" s="164"/>
      <c r="I453" s="164"/>
      <c r="J453" s="164"/>
      <c r="K453" s="164"/>
      <c r="L453" s="164"/>
      <c r="M453" s="164"/>
      <c r="N453" s="164"/>
      <c r="O453" s="164"/>
      <c r="P453" s="164"/>
      <c r="Q453" s="164"/>
      <c r="R453" s="164"/>
      <c r="S453" s="164"/>
      <c r="T453" s="164"/>
      <c r="U453" s="164"/>
      <c r="V453" s="164"/>
      <c r="W453" s="164"/>
      <c r="X453" s="164"/>
      <c r="Y453" s="164"/>
      <c r="Z453" s="164"/>
    </row>
    <row r="454" ht="13.5" customHeight="1">
      <c r="A454" s="164"/>
      <c r="B454" s="164"/>
      <c r="C454" s="164"/>
      <c r="D454" s="164"/>
      <c r="E454" s="164"/>
      <c r="F454" s="164"/>
      <c r="G454" s="164"/>
      <c r="H454" s="164"/>
      <c r="I454" s="164"/>
      <c r="J454" s="164"/>
      <c r="K454" s="164"/>
      <c r="L454" s="164"/>
      <c r="M454" s="164"/>
      <c r="N454" s="164"/>
      <c r="O454" s="164"/>
      <c r="P454" s="164"/>
      <c r="Q454" s="164"/>
      <c r="R454" s="164"/>
      <c r="S454" s="164"/>
      <c r="T454" s="164"/>
      <c r="U454" s="164"/>
      <c r="V454" s="164"/>
      <c r="W454" s="164"/>
      <c r="X454" s="164"/>
      <c r="Y454" s="164"/>
      <c r="Z454" s="164"/>
    </row>
    <row r="455" ht="13.5" customHeight="1">
      <c r="A455" s="164"/>
      <c r="B455" s="164"/>
      <c r="C455" s="164"/>
      <c r="D455" s="164"/>
      <c r="E455" s="164"/>
      <c r="F455" s="164"/>
      <c r="G455" s="164"/>
      <c r="H455" s="164"/>
      <c r="I455" s="164"/>
      <c r="J455" s="164"/>
      <c r="K455" s="164"/>
      <c r="L455" s="164"/>
      <c r="M455" s="164"/>
      <c r="N455" s="164"/>
      <c r="O455" s="164"/>
      <c r="P455" s="164"/>
      <c r="Q455" s="164"/>
      <c r="R455" s="164"/>
      <c r="S455" s="164"/>
      <c r="T455" s="164"/>
      <c r="U455" s="164"/>
      <c r="V455" s="164"/>
      <c r="W455" s="164"/>
      <c r="X455" s="164"/>
      <c r="Y455" s="164"/>
      <c r="Z455" s="164"/>
    </row>
    <row r="456" ht="13.5" customHeight="1">
      <c r="A456" s="164"/>
      <c r="B456" s="164"/>
      <c r="C456" s="164"/>
      <c r="D456" s="164"/>
      <c r="E456" s="164"/>
      <c r="F456" s="164"/>
      <c r="G456" s="164"/>
      <c r="H456" s="164"/>
      <c r="I456" s="164"/>
      <c r="J456" s="164"/>
      <c r="K456" s="164"/>
      <c r="L456" s="164"/>
      <c r="M456" s="164"/>
      <c r="N456" s="164"/>
      <c r="O456" s="164"/>
      <c r="P456" s="164"/>
      <c r="Q456" s="164"/>
      <c r="R456" s="164"/>
      <c r="S456" s="164"/>
      <c r="T456" s="164"/>
      <c r="U456" s="164"/>
      <c r="V456" s="164"/>
      <c r="W456" s="164"/>
      <c r="X456" s="164"/>
      <c r="Y456" s="164"/>
      <c r="Z456" s="164"/>
    </row>
    <row r="457" ht="13.5" customHeight="1">
      <c r="A457" s="164"/>
      <c r="B457" s="164"/>
      <c r="C457" s="164"/>
      <c r="D457" s="164"/>
      <c r="E457" s="164"/>
      <c r="F457" s="164"/>
      <c r="G457" s="164"/>
      <c r="H457" s="164"/>
      <c r="I457" s="164"/>
      <c r="J457" s="164"/>
      <c r="K457" s="164"/>
      <c r="L457" s="164"/>
      <c r="M457" s="164"/>
      <c r="N457" s="164"/>
      <c r="O457" s="164"/>
      <c r="P457" s="164"/>
      <c r="Q457" s="164"/>
      <c r="R457" s="164"/>
      <c r="S457" s="164"/>
      <c r="T457" s="164"/>
      <c r="U457" s="164"/>
      <c r="V457" s="164"/>
      <c r="W457" s="164"/>
      <c r="X457" s="164"/>
      <c r="Y457" s="164"/>
      <c r="Z457" s="164"/>
    </row>
    <row r="458" ht="13.5" customHeight="1">
      <c r="A458" s="164"/>
      <c r="B458" s="164"/>
      <c r="C458" s="164"/>
      <c r="D458" s="164"/>
      <c r="E458" s="164"/>
      <c r="F458" s="164"/>
      <c r="G458" s="164"/>
      <c r="H458" s="164"/>
      <c r="I458" s="164"/>
      <c r="J458" s="164"/>
      <c r="K458" s="164"/>
      <c r="L458" s="164"/>
      <c r="M458" s="164"/>
      <c r="N458" s="164"/>
      <c r="O458" s="164"/>
      <c r="P458" s="164"/>
      <c r="Q458" s="164"/>
      <c r="R458" s="164"/>
      <c r="S458" s="164"/>
      <c r="T458" s="164"/>
      <c r="U458" s="164"/>
      <c r="V458" s="164"/>
      <c r="W458" s="164"/>
      <c r="X458" s="164"/>
      <c r="Y458" s="164"/>
      <c r="Z458" s="164"/>
    </row>
    <row r="459" ht="13.5" customHeight="1">
      <c r="A459" s="164"/>
      <c r="B459" s="164"/>
      <c r="C459" s="164"/>
      <c r="D459" s="164"/>
      <c r="E459" s="164"/>
      <c r="F459" s="164"/>
      <c r="G459" s="164"/>
      <c r="H459" s="164"/>
      <c r="I459" s="164"/>
      <c r="J459" s="164"/>
      <c r="K459" s="164"/>
      <c r="L459" s="164"/>
      <c r="M459" s="164"/>
      <c r="N459" s="164"/>
      <c r="O459" s="164"/>
      <c r="P459" s="164"/>
      <c r="Q459" s="164"/>
      <c r="R459" s="164"/>
      <c r="S459" s="164"/>
      <c r="T459" s="164"/>
      <c r="U459" s="164"/>
      <c r="V459" s="164"/>
      <c r="W459" s="164"/>
      <c r="X459" s="164"/>
      <c r="Y459" s="164"/>
      <c r="Z459" s="164"/>
    </row>
    <row r="460" ht="13.5" customHeight="1">
      <c r="A460" s="164"/>
      <c r="B460" s="164"/>
      <c r="C460" s="164"/>
      <c r="D460" s="164"/>
      <c r="E460" s="164"/>
      <c r="F460" s="164"/>
      <c r="G460" s="164"/>
      <c r="H460" s="164"/>
      <c r="I460" s="164"/>
      <c r="J460" s="164"/>
      <c r="K460" s="164"/>
      <c r="L460" s="164"/>
      <c r="M460" s="164"/>
      <c r="N460" s="164"/>
      <c r="O460" s="164"/>
      <c r="P460" s="164"/>
      <c r="Q460" s="164"/>
      <c r="R460" s="164"/>
      <c r="S460" s="164"/>
      <c r="T460" s="164"/>
      <c r="U460" s="164"/>
      <c r="V460" s="164"/>
      <c r="W460" s="164"/>
      <c r="X460" s="164"/>
      <c r="Y460" s="164"/>
      <c r="Z460" s="164"/>
    </row>
    <row r="461" ht="13.5" customHeight="1">
      <c r="A461" s="164"/>
      <c r="B461" s="164"/>
      <c r="C461" s="164"/>
      <c r="D461" s="164"/>
      <c r="E461" s="164"/>
      <c r="F461" s="164"/>
      <c r="G461" s="164"/>
      <c r="H461" s="164"/>
      <c r="I461" s="164"/>
      <c r="J461" s="164"/>
      <c r="K461" s="164"/>
      <c r="L461" s="164"/>
      <c r="M461" s="164"/>
      <c r="N461" s="164"/>
      <c r="O461" s="164"/>
      <c r="P461" s="164"/>
      <c r="Q461" s="164"/>
      <c r="R461" s="164"/>
      <c r="S461" s="164"/>
      <c r="T461" s="164"/>
      <c r="U461" s="164"/>
      <c r="V461" s="164"/>
      <c r="W461" s="164"/>
      <c r="X461" s="164"/>
      <c r="Y461" s="164"/>
      <c r="Z461" s="164"/>
    </row>
    <row r="462" ht="13.5" customHeight="1">
      <c r="A462" s="164"/>
      <c r="B462" s="164"/>
      <c r="C462" s="164"/>
      <c r="D462" s="164"/>
      <c r="E462" s="164"/>
      <c r="F462" s="164"/>
      <c r="G462" s="164"/>
      <c r="H462" s="164"/>
      <c r="I462" s="164"/>
      <c r="J462" s="164"/>
      <c r="K462" s="164"/>
      <c r="L462" s="164"/>
      <c r="M462" s="164"/>
      <c r="N462" s="164"/>
      <c r="O462" s="164"/>
      <c r="P462" s="164"/>
      <c r="Q462" s="164"/>
      <c r="R462" s="164"/>
      <c r="S462" s="164"/>
      <c r="T462" s="164"/>
      <c r="U462" s="164"/>
      <c r="V462" s="164"/>
      <c r="W462" s="164"/>
      <c r="X462" s="164"/>
      <c r="Y462" s="164"/>
      <c r="Z462" s="164"/>
    </row>
    <row r="463" ht="13.5" customHeight="1">
      <c r="A463" s="164"/>
      <c r="B463" s="164"/>
      <c r="C463" s="164"/>
      <c r="D463" s="164"/>
      <c r="E463" s="164"/>
      <c r="F463" s="164"/>
      <c r="G463" s="164"/>
      <c r="H463" s="164"/>
      <c r="I463" s="164"/>
      <c r="J463" s="164"/>
      <c r="K463" s="164"/>
      <c r="L463" s="164"/>
      <c r="M463" s="164"/>
      <c r="N463" s="164"/>
      <c r="O463" s="164"/>
      <c r="P463" s="164"/>
      <c r="Q463" s="164"/>
      <c r="R463" s="164"/>
      <c r="S463" s="164"/>
      <c r="T463" s="164"/>
      <c r="U463" s="164"/>
      <c r="V463" s="164"/>
      <c r="W463" s="164"/>
      <c r="X463" s="164"/>
      <c r="Y463" s="164"/>
      <c r="Z463" s="164"/>
    </row>
    <row r="464" ht="13.5" customHeight="1">
      <c r="A464" s="164"/>
      <c r="B464" s="164"/>
      <c r="C464" s="164"/>
      <c r="D464" s="164"/>
      <c r="E464" s="164"/>
      <c r="F464" s="164"/>
      <c r="G464" s="164"/>
      <c r="H464" s="164"/>
      <c r="I464" s="164"/>
      <c r="J464" s="164"/>
      <c r="K464" s="164"/>
      <c r="L464" s="164"/>
      <c r="M464" s="164"/>
      <c r="N464" s="164"/>
      <c r="O464" s="164"/>
      <c r="P464" s="164"/>
      <c r="Q464" s="164"/>
      <c r="R464" s="164"/>
      <c r="S464" s="164"/>
      <c r="T464" s="164"/>
      <c r="U464" s="164"/>
      <c r="V464" s="164"/>
      <c r="W464" s="164"/>
      <c r="X464" s="164"/>
      <c r="Y464" s="164"/>
      <c r="Z464" s="164"/>
    </row>
    <row r="465" ht="13.5" customHeight="1">
      <c r="A465" s="164"/>
      <c r="B465" s="164"/>
      <c r="C465" s="164"/>
      <c r="D465" s="164"/>
      <c r="E465" s="164"/>
      <c r="F465" s="164"/>
      <c r="G465" s="164"/>
      <c r="H465" s="164"/>
      <c r="I465" s="164"/>
      <c r="J465" s="164"/>
      <c r="K465" s="164"/>
      <c r="L465" s="164"/>
      <c r="M465" s="164"/>
      <c r="N465" s="164"/>
      <c r="O465" s="164"/>
      <c r="P465" s="164"/>
      <c r="Q465" s="164"/>
      <c r="R465" s="164"/>
      <c r="S465" s="164"/>
      <c r="T465" s="164"/>
      <c r="U465" s="164"/>
      <c r="V465" s="164"/>
      <c r="W465" s="164"/>
      <c r="X465" s="164"/>
      <c r="Y465" s="164"/>
      <c r="Z465" s="164"/>
    </row>
    <row r="466" ht="13.5" customHeight="1">
      <c r="A466" s="164"/>
      <c r="B466" s="164"/>
      <c r="C466" s="164"/>
      <c r="D466" s="164"/>
      <c r="E466" s="164"/>
      <c r="F466" s="164"/>
      <c r="G466" s="164"/>
      <c r="H466" s="164"/>
      <c r="I466" s="164"/>
      <c r="J466" s="164"/>
      <c r="K466" s="164"/>
      <c r="L466" s="164"/>
      <c r="M466" s="164"/>
      <c r="N466" s="164"/>
      <c r="O466" s="164"/>
      <c r="P466" s="164"/>
      <c r="Q466" s="164"/>
      <c r="R466" s="164"/>
      <c r="S466" s="164"/>
      <c r="T466" s="164"/>
      <c r="U466" s="164"/>
      <c r="V466" s="164"/>
      <c r="W466" s="164"/>
      <c r="X466" s="164"/>
      <c r="Y466" s="164"/>
      <c r="Z466" s="164"/>
    </row>
    <row r="467" ht="13.5" customHeight="1">
      <c r="A467" s="164"/>
      <c r="B467" s="164"/>
      <c r="C467" s="164"/>
      <c r="D467" s="164"/>
      <c r="E467" s="164"/>
      <c r="F467" s="164"/>
      <c r="G467" s="164"/>
      <c r="H467" s="164"/>
      <c r="I467" s="164"/>
      <c r="J467" s="164"/>
      <c r="K467" s="164"/>
      <c r="L467" s="164"/>
      <c r="M467" s="164"/>
      <c r="N467" s="164"/>
      <c r="O467" s="164"/>
      <c r="P467" s="164"/>
      <c r="Q467" s="164"/>
      <c r="R467" s="164"/>
      <c r="S467" s="164"/>
      <c r="T467" s="164"/>
      <c r="U467" s="164"/>
      <c r="V467" s="164"/>
      <c r="W467" s="164"/>
      <c r="X467" s="164"/>
      <c r="Y467" s="164"/>
      <c r="Z467" s="164"/>
    </row>
    <row r="468" ht="13.5" customHeight="1">
      <c r="A468" s="164"/>
      <c r="B468" s="164"/>
      <c r="C468" s="164"/>
      <c r="D468" s="164"/>
      <c r="E468" s="164"/>
      <c r="F468" s="164"/>
      <c r="G468" s="164"/>
      <c r="H468" s="164"/>
      <c r="I468" s="164"/>
      <c r="J468" s="164"/>
      <c r="K468" s="164"/>
      <c r="L468" s="164"/>
      <c r="M468" s="164"/>
      <c r="N468" s="164"/>
      <c r="O468" s="164"/>
      <c r="P468" s="164"/>
      <c r="Q468" s="164"/>
      <c r="R468" s="164"/>
      <c r="S468" s="164"/>
      <c r="T468" s="164"/>
      <c r="U468" s="164"/>
      <c r="V468" s="164"/>
      <c r="W468" s="164"/>
      <c r="X468" s="164"/>
      <c r="Y468" s="164"/>
      <c r="Z468" s="164"/>
    </row>
    <row r="469" ht="13.5" customHeight="1">
      <c r="A469" s="164"/>
      <c r="B469" s="164"/>
      <c r="C469" s="164"/>
      <c r="D469" s="164"/>
      <c r="E469" s="164"/>
      <c r="F469" s="164"/>
      <c r="G469" s="164"/>
      <c r="H469" s="164"/>
      <c r="I469" s="164"/>
      <c r="J469" s="164"/>
      <c r="K469" s="164"/>
      <c r="L469" s="164"/>
      <c r="M469" s="164"/>
      <c r="N469" s="164"/>
      <c r="O469" s="164"/>
      <c r="P469" s="164"/>
      <c r="Q469" s="164"/>
      <c r="R469" s="164"/>
      <c r="S469" s="164"/>
      <c r="T469" s="164"/>
      <c r="U469" s="164"/>
      <c r="V469" s="164"/>
      <c r="W469" s="164"/>
      <c r="X469" s="164"/>
      <c r="Y469" s="164"/>
      <c r="Z469" s="164"/>
    </row>
    <row r="470" ht="13.5" customHeight="1">
      <c r="A470" s="164"/>
      <c r="B470" s="164"/>
      <c r="C470" s="164"/>
      <c r="D470" s="164"/>
      <c r="E470" s="164"/>
      <c r="F470" s="164"/>
      <c r="G470" s="164"/>
      <c r="H470" s="164"/>
      <c r="I470" s="164"/>
      <c r="J470" s="164"/>
      <c r="K470" s="164"/>
      <c r="L470" s="164"/>
      <c r="M470" s="164"/>
      <c r="N470" s="164"/>
      <c r="O470" s="164"/>
      <c r="P470" s="164"/>
      <c r="Q470" s="164"/>
      <c r="R470" s="164"/>
      <c r="S470" s="164"/>
      <c r="T470" s="164"/>
      <c r="U470" s="164"/>
      <c r="V470" s="164"/>
      <c r="W470" s="164"/>
      <c r="X470" s="164"/>
      <c r="Y470" s="164"/>
      <c r="Z470" s="164"/>
    </row>
    <row r="471" ht="13.5" customHeight="1">
      <c r="A471" s="164"/>
      <c r="B471" s="164"/>
      <c r="C471" s="164"/>
      <c r="D471" s="164"/>
      <c r="E471" s="164"/>
      <c r="F471" s="164"/>
      <c r="G471" s="164"/>
      <c r="H471" s="164"/>
      <c r="I471" s="164"/>
      <c r="J471" s="164"/>
      <c r="K471" s="164"/>
      <c r="L471" s="164"/>
      <c r="M471" s="164"/>
      <c r="N471" s="164"/>
      <c r="O471" s="164"/>
      <c r="P471" s="164"/>
      <c r="Q471" s="164"/>
      <c r="R471" s="164"/>
      <c r="S471" s="164"/>
      <c r="T471" s="164"/>
      <c r="U471" s="164"/>
      <c r="V471" s="164"/>
      <c r="W471" s="164"/>
      <c r="X471" s="164"/>
      <c r="Y471" s="164"/>
      <c r="Z471" s="164"/>
    </row>
    <row r="472" ht="13.5" customHeight="1">
      <c r="A472" s="164"/>
      <c r="B472" s="164"/>
      <c r="C472" s="164"/>
      <c r="D472" s="164"/>
      <c r="E472" s="164"/>
      <c r="F472" s="164"/>
      <c r="G472" s="164"/>
      <c r="H472" s="164"/>
      <c r="I472" s="164"/>
      <c r="J472" s="164"/>
      <c r="K472" s="164"/>
      <c r="L472" s="164"/>
      <c r="M472" s="164"/>
      <c r="N472" s="164"/>
      <c r="O472" s="164"/>
      <c r="P472" s="164"/>
      <c r="Q472" s="164"/>
      <c r="R472" s="164"/>
      <c r="S472" s="164"/>
      <c r="T472" s="164"/>
      <c r="U472" s="164"/>
      <c r="V472" s="164"/>
      <c r="W472" s="164"/>
      <c r="X472" s="164"/>
      <c r="Y472" s="164"/>
      <c r="Z472" s="164"/>
    </row>
    <row r="473" ht="13.5" customHeight="1">
      <c r="A473" s="164"/>
      <c r="B473" s="164"/>
      <c r="C473" s="164"/>
      <c r="D473" s="164"/>
      <c r="E473" s="164"/>
      <c r="F473" s="164"/>
      <c r="G473" s="164"/>
      <c r="H473" s="164"/>
      <c r="I473" s="164"/>
      <c r="J473" s="164"/>
      <c r="K473" s="164"/>
      <c r="L473" s="164"/>
      <c r="M473" s="164"/>
      <c r="N473" s="164"/>
      <c r="O473" s="164"/>
      <c r="P473" s="164"/>
      <c r="Q473" s="164"/>
      <c r="R473" s="164"/>
      <c r="S473" s="164"/>
      <c r="T473" s="164"/>
      <c r="U473" s="164"/>
      <c r="V473" s="164"/>
      <c r="W473" s="164"/>
      <c r="X473" s="164"/>
      <c r="Y473" s="164"/>
      <c r="Z473" s="164"/>
    </row>
    <row r="474" ht="13.5" customHeight="1">
      <c r="A474" s="164"/>
      <c r="B474" s="164"/>
      <c r="C474" s="164"/>
      <c r="D474" s="164"/>
      <c r="E474" s="164"/>
      <c r="F474" s="164"/>
      <c r="G474" s="164"/>
      <c r="H474" s="164"/>
      <c r="I474" s="164"/>
      <c r="J474" s="164"/>
      <c r="K474" s="164"/>
      <c r="L474" s="164"/>
      <c r="M474" s="164"/>
      <c r="N474" s="164"/>
      <c r="O474" s="164"/>
      <c r="P474" s="164"/>
      <c r="Q474" s="164"/>
      <c r="R474" s="164"/>
      <c r="S474" s="164"/>
      <c r="T474" s="164"/>
      <c r="U474" s="164"/>
      <c r="V474" s="164"/>
      <c r="W474" s="164"/>
      <c r="X474" s="164"/>
      <c r="Y474" s="164"/>
      <c r="Z474" s="164"/>
    </row>
    <row r="475" ht="13.5" customHeight="1">
      <c r="A475" s="164"/>
      <c r="B475" s="164"/>
      <c r="C475" s="164"/>
      <c r="D475" s="164"/>
      <c r="E475" s="164"/>
      <c r="F475" s="164"/>
      <c r="G475" s="164"/>
      <c r="H475" s="164"/>
      <c r="I475" s="164"/>
      <c r="J475" s="164"/>
      <c r="K475" s="164"/>
      <c r="L475" s="164"/>
      <c r="M475" s="164"/>
      <c r="N475" s="164"/>
      <c r="O475" s="164"/>
      <c r="P475" s="164"/>
      <c r="Q475" s="164"/>
      <c r="R475" s="164"/>
      <c r="S475" s="164"/>
      <c r="T475" s="164"/>
      <c r="U475" s="164"/>
      <c r="V475" s="164"/>
      <c r="W475" s="164"/>
      <c r="X475" s="164"/>
      <c r="Y475" s="164"/>
      <c r="Z475" s="164"/>
    </row>
    <row r="476" ht="13.5" customHeight="1">
      <c r="A476" s="164"/>
      <c r="B476" s="164"/>
      <c r="C476" s="164"/>
      <c r="D476" s="164"/>
      <c r="E476" s="164"/>
      <c r="F476" s="164"/>
      <c r="G476" s="164"/>
      <c r="H476" s="164"/>
      <c r="I476" s="164"/>
      <c r="J476" s="164"/>
      <c r="K476" s="164"/>
      <c r="L476" s="164"/>
      <c r="M476" s="164"/>
      <c r="N476" s="164"/>
      <c r="O476" s="164"/>
      <c r="P476" s="164"/>
      <c r="Q476" s="164"/>
      <c r="R476" s="164"/>
      <c r="S476" s="164"/>
      <c r="T476" s="164"/>
      <c r="U476" s="164"/>
      <c r="V476" s="164"/>
      <c r="W476" s="164"/>
      <c r="X476" s="164"/>
      <c r="Y476" s="164"/>
      <c r="Z476" s="164"/>
    </row>
    <row r="477" ht="13.5" customHeight="1">
      <c r="A477" s="164"/>
      <c r="B477" s="164"/>
      <c r="C477" s="164"/>
      <c r="D477" s="164"/>
      <c r="E477" s="164"/>
      <c r="F477" s="164"/>
      <c r="G477" s="164"/>
      <c r="H477" s="164"/>
      <c r="I477" s="164"/>
      <c r="J477" s="164"/>
      <c r="K477" s="164"/>
      <c r="L477" s="164"/>
      <c r="M477" s="164"/>
      <c r="N477" s="164"/>
      <c r="O477" s="164"/>
      <c r="P477" s="164"/>
      <c r="Q477" s="164"/>
      <c r="R477" s="164"/>
      <c r="S477" s="164"/>
      <c r="T477" s="164"/>
      <c r="U477" s="164"/>
      <c r="V477" s="164"/>
      <c r="W477" s="164"/>
      <c r="X477" s="164"/>
      <c r="Y477" s="164"/>
      <c r="Z477" s="164"/>
    </row>
    <row r="478" ht="13.5" customHeight="1">
      <c r="A478" s="164"/>
      <c r="B478" s="164"/>
      <c r="C478" s="164"/>
      <c r="D478" s="164"/>
      <c r="E478" s="164"/>
      <c r="F478" s="164"/>
      <c r="G478" s="164"/>
      <c r="H478" s="164"/>
      <c r="I478" s="164"/>
      <c r="J478" s="164"/>
      <c r="K478" s="164"/>
      <c r="L478" s="164"/>
      <c r="M478" s="164"/>
      <c r="N478" s="164"/>
      <c r="O478" s="164"/>
      <c r="P478" s="164"/>
      <c r="Q478" s="164"/>
      <c r="R478" s="164"/>
      <c r="S478" s="164"/>
      <c r="T478" s="164"/>
      <c r="U478" s="164"/>
      <c r="V478" s="164"/>
      <c r="W478" s="164"/>
      <c r="X478" s="164"/>
      <c r="Y478" s="164"/>
      <c r="Z478" s="164"/>
    </row>
    <row r="479" ht="13.5" customHeight="1">
      <c r="A479" s="164"/>
      <c r="B479" s="164"/>
      <c r="C479" s="164"/>
      <c r="D479" s="164"/>
      <c r="E479" s="164"/>
      <c r="F479" s="164"/>
      <c r="G479" s="164"/>
      <c r="H479" s="164"/>
      <c r="I479" s="164"/>
      <c r="J479" s="164"/>
      <c r="K479" s="164"/>
      <c r="L479" s="164"/>
      <c r="M479" s="164"/>
      <c r="N479" s="164"/>
      <c r="O479" s="164"/>
      <c r="P479" s="164"/>
      <c r="Q479" s="164"/>
      <c r="R479" s="164"/>
      <c r="S479" s="164"/>
      <c r="T479" s="164"/>
      <c r="U479" s="164"/>
      <c r="V479" s="164"/>
      <c r="W479" s="164"/>
      <c r="X479" s="164"/>
      <c r="Y479" s="164"/>
      <c r="Z479" s="164"/>
    </row>
    <row r="480" ht="13.5" customHeight="1">
      <c r="A480" s="164"/>
      <c r="B480" s="164"/>
      <c r="C480" s="164"/>
      <c r="D480" s="164"/>
      <c r="E480" s="164"/>
      <c r="F480" s="164"/>
      <c r="G480" s="164"/>
      <c r="H480" s="164"/>
      <c r="I480" s="164"/>
      <c r="J480" s="164"/>
      <c r="K480" s="164"/>
      <c r="L480" s="164"/>
      <c r="M480" s="164"/>
      <c r="N480" s="164"/>
      <c r="O480" s="164"/>
      <c r="P480" s="164"/>
      <c r="Q480" s="164"/>
      <c r="R480" s="164"/>
      <c r="S480" s="164"/>
      <c r="T480" s="164"/>
      <c r="U480" s="164"/>
      <c r="V480" s="164"/>
      <c r="W480" s="164"/>
      <c r="X480" s="164"/>
      <c r="Y480" s="164"/>
      <c r="Z480" s="164"/>
    </row>
    <row r="481" ht="13.5" customHeight="1">
      <c r="A481" s="164"/>
      <c r="B481" s="164"/>
      <c r="C481" s="164"/>
      <c r="D481" s="164"/>
      <c r="E481" s="164"/>
      <c r="F481" s="164"/>
      <c r="G481" s="164"/>
      <c r="H481" s="164"/>
      <c r="I481" s="164"/>
      <c r="J481" s="164"/>
      <c r="K481" s="164"/>
      <c r="L481" s="164"/>
      <c r="M481" s="164"/>
      <c r="N481" s="164"/>
      <c r="O481" s="164"/>
      <c r="P481" s="164"/>
      <c r="Q481" s="164"/>
      <c r="R481" s="164"/>
      <c r="S481" s="164"/>
      <c r="T481" s="164"/>
      <c r="U481" s="164"/>
      <c r="V481" s="164"/>
      <c r="W481" s="164"/>
      <c r="X481" s="164"/>
      <c r="Y481" s="164"/>
      <c r="Z481" s="164"/>
    </row>
    <row r="482" ht="13.5" customHeight="1">
      <c r="A482" s="164"/>
      <c r="B482" s="164"/>
      <c r="C482" s="164"/>
      <c r="D482" s="164"/>
      <c r="E482" s="164"/>
      <c r="F482" s="164"/>
      <c r="G482" s="164"/>
      <c r="H482" s="164"/>
      <c r="I482" s="164"/>
      <c r="J482" s="164"/>
      <c r="K482" s="164"/>
      <c r="L482" s="164"/>
      <c r="M482" s="164"/>
      <c r="N482" s="164"/>
      <c r="O482" s="164"/>
      <c r="P482" s="164"/>
      <c r="Q482" s="164"/>
      <c r="R482" s="164"/>
      <c r="S482" s="164"/>
      <c r="T482" s="164"/>
      <c r="U482" s="164"/>
      <c r="V482" s="164"/>
      <c r="W482" s="164"/>
      <c r="X482" s="164"/>
      <c r="Y482" s="164"/>
      <c r="Z482" s="164"/>
    </row>
    <row r="483" ht="13.5" customHeight="1">
      <c r="A483" s="164"/>
      <c r="B483" s="164"/>
      <c r="C483" s="164"/>
      <c r="D483" s="164"/>
      <c r="E483" s="164"/>
      <c r="F483" s="164"/>
      <c r="G483" s="164"/>
      <c r="H483" s="164"/>
      <c r="I483" s="164"/>
      <c r="J483" s="164"/>
      <c r="K483" s="164"/>
      <c r="L483" s="164"/>
      <c r="M483" s="164"/>
      <c r="N483" s="164"/>
      <c r="O483" s="164"/>
      <c r="P483" s="164"/>
      <c r="Q483" s="164"/>
      <c r="R483" s="164"/>
      <c r="S483" s="164"/>
      <c r="T483" s="164"/>
      <c r="U483" s="164"/>
      <c r="V483" s="164"/>
      <c r="W483" s="164"/>
      <c r="X483" s="164"/>
      <c r="Y483" s="164"/>
      <c r="Z483" s="164"/>
    </row>
    <row r="484" ht="13.5" customHeight="1">
      <c r="A484" s="164"/>
      <c r="B484" s="164"/>
      <c r="C484" s="164"/>
      <c r="D484" s="164"/>
      <c r="E484" s="164"/>
      <c r="F484" s="164"/>
      <c r="G484" s="164"/>
      <c r="H484" s="164"/>
      <c r="I484" s="164"/>
      <c r="J484" s="164"/>
      <c r="K484" s="164"/>
      <c r="L484" s="164"/>
      <c r="M484" s="164"/>
      <c r="N484" s="164"/>
      <c r="O484" s="164"/>
      <c r="P484" s="164"/>
      <c r="Q484" s="164"/>
      <c r="R484" s="164"/>
      <c r="S484" s="164"/>
      <c r="T484" s="164"/>
      <c r="U484" s="164"/>
      <c r="V484" s="164"/>
      <c r="W484" s="164"/>
      <c r="X484" s="164"/>
      <c r="Y484" s="164"/>
      <c r="Z484" s="164"/>
    </row>
    <row r="485" ht="13.5" customHeight="1">
      <c r="A485" s="164"/>
      <c r="B485" s="164"/>
      <c r="C485" s="164"/>
      <c r="D485" s="164"/>
      <c r="E485" s="164"/>
      <c r="F485" s="164"/>
      <c r="G485" s="164"/>
      <c r="H485" s="164"/>
      <c r="I485" s="164"/>
      <c r="J485" s="164"/>
      <c r="K485" s="164"/>
      <c r="L485" s="164"/>
      <c r="M485" s="164"/>
      <c r="N485" s="164"/>
      <c r="O485" s="164"/>
      <c r="P485" s="164"/>
      <c r="Q485" s="164"/>
      <c r="R485" s="164"/>
      <c r="S485" s="164"/>
      <c r="T485" s="164"/>
      <c r="U485" s="164"/>
      <c r="V485" s="164"/>
      <c r="W485" s="164"/>
      <c r="X485" s="164"/>
      <c r="Y485" s="164"/>
      <c r="Z485" s="164"/>
    </row>
    <row r="486" ht="13.5" customHeight="1">
      <c r="A486" s="164"/>
      <c r="B486" s="164"/>
      <c r="C486" s="164"/>
      <c r="D486" s="164"/>
      <c r="E486" s="164"/>
      <c r="F486" s="164"/>
      <c r="G486" s="164"/>
      <c r="H486" s="164"/>
      <c r="I486" s="164"/>
      <c r="J486" s="164"/>
      <c r="K486" s="164"/>
      <c r="L486" s="164"/>
      <c r="M486" s="164"/>
      <c r="N486" s="164"/>
      <c r="O486" s="164"/>
      <c r="P486" s="164"/>
      <c r="Q486" s="164"/>
      <c r="R486" s="164"/>
      <c r="S486" s="164"/>
      <c r="T486" s="164"/>
      <c r="U486" s="164"/>
      <c r="V486" s="164"/>
      <c r="W486" s="164"/>
      <c r="X486" s="164"/>
      <c r="Y486" s="164"/>
      <c r="Z486" s="164"/>
    </row>
    <row r="487" ht="13.5" customHeight="1">
      <c r="A487" s="164"/>
      <c r="B487" s="164"/>
      <c r="C487" s="164"/>
      <c r="D487" s="164"/>
      <c r="E487" s="164"/>
      <c r="F487" s="164"/>
      <c r="G487" s="164"/>
      <c r="H487" s="164"/>
      <c r="I487" s="164"/>
      <c r="J487" s="164"/>
      <c r="K487" s="164"/>
      <c r="L487" s="164"/>
      <c r="M487" s="164"/>
      <c r="N487" s="164"/>
      <c r="O487" s="164"/>
      <c r="P487" s="164"/>
      <c r="Q487" s="164"/>
      <c r="R487" s="164"/>
      <c r="S487" s="164"/>
      <c r="T487" s="164"/>
      <c r="U487" s="164"/>
      <c r="V487" s="164"/>
      <c r="W487" s="164"/>
      <c r="X487" s="164"/>
      <c r="Y487" s="164"/>
      <c r="Z487" s="164"/>
    </row>
    <row r="488" ht="13.5" customHeight="1">
      <c r="A488" s="164"/>
      <c r="B488" s="164"/>
      <c r="C488" s="164"/>
      <c r="D488" s="164"/>
      <c r="E488" s="164"/>
      <c r="F488" s="164"/>
      <c r="G488" s="164"/>
      <c r="H488" s="164"/>
      <c r="I488" s="164"/>
      <c r="J488" s="164"/>
      <c r="K488" s="164"/>
      <c r="L488" s="164"/>
      <c r="M488" s="164"/>
      <c r="N488" s="164"/>
      <c r="O488" s="164"/>
      <c r="P488" s="164"/>
      <c r="Q488" s="164"/>
      <c r="R488" s="164"/>
      <c r="S488" s="164"/>
      <c r="T488" s="164"/>
      <c r="U488" s="164"/>
      <c r="V488" s="164"/>
      <c r="W488" s="164"/>
      <c r="X488" s="164"/>
      <c r="Y488" s="164"/>
      <c r="Z488" s="164"/>
    </row>
    <row r="489" ht="13.5" customHeight="1">
      <c r="A489" s="164"/>
      <c r="B489" s="164"/>
      <c r="C489" s="164"/>
      <c r="D489" s="164"/>
      <c r="E489" s="164"/>
      <c r="F489" s="164"/>
      <c r="G489" s="164"/>
      <c r="H489" s="164"/>
      <c r="I489" s="164"/>
      <c r="J489" s="164"/>
      <c r="K489" s="164"/>
      <c r="L489" s="164"/>
      <c r="M489" s="164"/>
      <c r="N489" s="164"/>
      <c r="O489" s="164"/>
      <c r="P489" s="164"/>
      <c r="Q489" s="164"/>
      <c r="R489" s="164"/>
      <c r="S489" s="164"/>
      <c r="T489" s="164"/>
      <c r="U489" s="164"/>
      <c r="V489" s="164"/>
      <c r="W489" s="164"/>
      <c r="X489" s="164"/>
      <c r="Y489" s="164"/>
      <c r="Z489" s="164"/>
    </row>
    <row r="490" ht="13.5" customHeight="1">
      <c r="A490" s="164"/>
      <c r="B490" s="164"/>
      <c r="C490" s="164"/>
      <c r="D490" s="164"/>
      <c r="E490" s="164"/>
      <c r="F490" s="164"/>
      <c r="G490" s="164"/>
      <c r="H490" s="164"/>
      <c r="I490" s="164"/>
      <c r="J490" s="164"/>
      <c r="K490" s="164"/>
      <c r="L490" s="164"/>
      <c r="M490" s="164"/>
      <c r="N490" s="164"/>
      <c r="O490" s="164"/>
      <c r="P490" s="164"/>
      <c r="Q490" s="164"/>
      <c r="R490" s="164"/>
      <c r="S490" s="164"/>
      <c r="T490" s="164"/>
      <c r="U490" s="164"/>
      <c r="V490" s="164"/>
      <c r="W490" s="164"/>
      <c r="X490" s="164"/>
      <c r="Y490" s="164"/>
      <c r="Z490" s="164"/>
    </row>
    <row r="491" ht="13.5" customHeight="1">
      <c r="A491" s="164"/>
      <c r="B491" s="164"/>
      <c r="C491" s="164"/>
      <c r="D491" s="164"/>
      <c r="E491" s="164"/>
      <c r="F491" s="164"/>
      <c r="G491" s="164"/>
      <c r="H491" s="164"/>
      <c r="I491" s="164"/>
      <c r="J491" s="164"/>
      <c r="K491" s="164"/>
      <c r="L491" s="164"/>
      <c r="M491" s="164"/>
      <c r="N491" s="164"/>
      <c r="O491" s="164"/>
      <c r="P491" s="164"/>
      <c r="Q491" s="164"/>
      <c r="R491" s="164"/>
      <c r="S491" s="164"/>
      <c r="T491" s="164"/>
      <c r="U491" s="164"/>
      <c r="V491" s="164"/>
      <c r="W491" s="164"/>
      <c r="X491" s="164"/>
      <c r="Y491" s="164"/>
      <c r="Z491" s="164"/>
    </row>
    <row r="492" ht="13.5" customHeight="1">
      <c r="A492" s="164"/>
      <c r="B492" s="164"/>
      <c r="C492" s="164"/>
      <c r="D492" s="164"/>
      <c r="E492" s="164"/>
      <c r="F492" s="164"/>
      <c r="G492" s="164"/>
      <c r="H492" s="164"/>
      <c r="I492" s="164"/>
      <c r="J492" s="164"/>
      <c r="K492" s="164"/>
      <c r="L492" s="164"/>
      <c r="M492" s="164"/>
      <c r="N492" s="164"/>
      <c r="O492" s="164"/>
      <c r="P492" s="164"/>
      <c r="Q492" s="164"/>
      <c r="R492" s="164"/>
      <c r="S492" s="164"/>
      <c r="T492" s="164"/>
      <c r="U492" s="164"/>
      <c r="V492" s="164"/>
      <c r="W492" s="164"/>
      <c r="X492" s="164"/>
      <c r="Y492" s="164"/>
      <c r="Z492" s="164"/>
    </row>
    <row r="493" ht="13.5" customHeight="1">
      <c r="A493" s="164"/>
      <c r="B493" s="164"/>
      <c r="C493" s="164"/>
      <c r="D493" s="164"/>
      <c r="E493" s="164"/>
      <c r="F493" s="164"/>
      <c r="G493" s="164"/>
      <c r="H493" s="164"/>
      <c r="I493" s="164"/>
      <c r="J493" s="164"/>
      <c r="K493" s="164"/>
      <c r="L493" s="164"/>
      <c r="M493" s="164"/>
      <c r="N493" s="164"/>
      <c r="O493" s="164"/>
      <c r="P493" s="164"/>
      <c r="Q493" s="164"/>
      <c r="R493" s="164"/>
      <c r="S493" s="164"/>
      <c r="T493" s="164"/>
      <c r="U493" s="164"/>
      <c r="V493" s="164"/>
      <c r="W493" s="164"/>
      <c r="X493" s="164"/>
      <c r="Y493" s="164"/>
      <c r="Z493" s="164"/>
    </row>
    <row r="494" ht="13.5" customHeight="1">
      <c r="A494" s="164"/>
      <c r="B494" s="164"/>
      <c r="C494" s="164"/>
      <c r="D494" s="164"/>
      <c r="E494" s="164"/>
      <c r="F494" s="164"/>
      <c r="G494" s="164"/>
      <c r="H494" s="164"/>
      <c r="I494" s="164"/>
      <c r="J494" s="164"/>
      <c r="K494" s="164"/>
      <c r="L494" s="164"/>
      <c r="M494" s="164"/>
      <c r="N494" s="164"/>
      <c r="O494" s="164"/>
      <c r="P494" s="164"/>
      <c r="Q494" s="164"/>
      <c r="R494" s="164"/>
      <c r="S494" s="164"/>
      <c r="T494" s="164"/>
      <c r="U494" s="164"/>
      <c r="V494" s="164"/>
      <c r="W494" s="164"/>
      <c r="X494" s="164"/>
      <c r="Y494" s="164"/>
      <c r="Z494" s="164"/>
    </row>
    <row r="495" ht="13.5" customHeight="1">
      <c r="A495" s="164"/>
      <c r="B495" s="164"/>
      <c r="C495" s="164"/>
      <c r="D495" s="164"/>
      <c r="E495" s="164"/>
      <c r="F495" s="164"/>
      <c r="G495" s="164"/>
      <c r="H495" s="164"/>
      <c r="I495" s="164"/>
      <c r="J495" s="164"/>
      <c r="K495" s="164"/>
      <c r="L495" s="164"/>
      <c r="M495" s="164"/>
      <c r="N495" s="164"/>
      <c r="O495" s="164"/>
      <c r="P495" s="164"/>
      <c r="Q495" s="164"/>
      <c r="R495" s="164"/>
      <c r="S495" s="164"/>
      <c r="T495" s="164"/>
      <c r="U495" s="164"/>
      <c r="V495" s="164"/>
      <c r="W495" s="164"/>
      <c r="X495" s="164"/>
      <c r="Y495" s="164"/>
      <c r="Z495" s="164"/>
    </row>
    <row r="496" ht="13.5" customHeight="1">
      <c r="A496" s="164"/>
      <c r="B496" s="164"/>
      <c r="C496" s="164"/>
      <c r="D496" s="164"/>
      <c r="E496" s="164"/>
      <c r="F496" s="164"/>
      <c r="G496" s="164"/>
      <c r="H496" s="164"/>
      <c r="I496" s="164"/>
      <c r="J496" s="164"/>
      <c r="K496" s="164"/>
      <c r="L496" s="164"/>
      <c r="M496" s="164"/>
      <c r="N496" s="164"/>
      <c r="O496" s="164"/>
      <c r="P496" s="164"/>
      <c r="Q496" s="164"/>
      <c r="R496" s="164"/>
      <c r="S496" s="164"/>
      <c r="T496" s="164"/>
      <c r="U496" s="164"/>
      <c r="V496" s="164"/>
      <c r="W496" s="164"/>
      <c r="X496" s="164"/>
      <c r="Y496" s="164"/>
      <c r="Z496" s="164"/>
    </row>
    <row r="497" ht="13.5" customHeight="1">
      <c r="A497" s="164"/>
      <c r="B497" s="164"/>
      <c r="C497" s="164"/>
      <c r="D497" s="164"/>
      <c r="E497" s="164"/>
      <c r="F497" s="164"/>
      <c r="G497" s="164"/>
      <c r="H497" s="164"/>
      <c r="I497" s="164"/>
      <c r="J497" s="164"/>
      <c r="K497" s="164"/>
      <c r="L497" s="164"/>
      <c r="M497" s="164"/>
      <c r="N497" s="164"/>
      <c r="O497" s="164"/>
      <c r="P497" s="164"/>
      <c r="Q497" s="164"/>
      <c r="R497" s="164"/>
      <c r="S497" s="164"/>
      <c r="T497" s="164"/>
      <c r="U497" s="164"/>
      <c r="V497" s="164"/>
      <c r="W497" s="164"/>
      <c r="X497" s="164"/>
      <c r="Y497" s="164"/>
      <c r="Z497" s="164"/>
    </row>
    <row r="498" ht="13.5" customHeight="1">
      <c r="A498" s="164"/>
      <c r="B498" s="164"/>
      <c r="C498" s="164"/>
      <c r="D498" s="164"/>
      <c r="E498" s="164"/>
      <c r="F498" s="164"/>
      <c r="G498" s="164"/>
      <c r="H498" s="164"/>
      <c r="I498" s="164"/>
      <c r="J498" s="164"/>
      <c r="K498" s="164"/>
      <c r="L498" s="164"/>
      <c r="M498" s="164"/>
      <c r="N498" s="164"/>
      <c r="O498" s="164"/>
      <c r="P498" s="164"/>
      <c r="Q498" s="164"/>
      <c r="R498" s="164"/>
      <c r="S498" s="164"/>
      <c r="T498" s="164"/>
      <c r="U498" s="164"/>
      <c r="V498" s="164"/>
      <c r="W498" s="164"/>
      <c r="X498" s="164"/>
      <c r="Y498" s="164"/>
      <c r="Z498" s="164"/>
    </row>
    <row r="499" ht="13.5" customHeight="1">
      <c r="A499" s="164"/>
      <c r="B499" s="164"/>
      <c r="C499" s="164"/>
      <c r="D499" s="164"/>
      <c r="E499" s="164"/>
      <c r="F499" s="164"/>
      <c r="G499" s="164"/>
      <c r="H499" s="164"/>
      <c r="I499" s="164"/>
      <c r="J499" s="164"/>
      <c r="K499" s="164"/>
      <c r="L499" s="164"/>
      <c r="M499" s="164"/>
      <c r="N499" s="164"/>
      <c r="O499" s="164"/>
      <c r="P499" s="164"/>
      <c r="Q499" s="164"/>
      <c r="R499" s="164"/>
      <c r="S499" s="164"/>
      <c r="T499" s="164"/>
      <c r="U499" s="164"/>
      <c r="V499" s="164"/>
      <c r="W499" s="164"/>
      <c r="X499" s="164"/>
      <c r="Y499" s="164"/>
      <c r="Z499" s="164"/>
    </row>
    <row r="500" ht="13.5" customHeight="1">
      <c r="A500" s="164"/>
      <c r="B500" s="164"/>
      <c r="C500" s="164"/>
      <c r="D500" s="164"/>
      <c r="E500" s="164"/>
      <c r="F500" s="164"/>
      <c r="G500" s="164"/>
      <c r="H500" s="164"/>
      <c r="I500" s="164"/>
      <c r="J500" s="164"/>
      <c r="K500" s="164"/>
      <c r="L500" s="164"/>
      <c r="M500" s="164"/>
      <c r="N500" s="164"/>
      <c r="O500" s="164"/>
      <c r="P500" s="164"/>
      <c r="Q500" s="164"/>
      <c r="R500" s="164"/>
      <c r="S500" s="164"/>
      <c r="T500" s="164"/>
      <c r="U500" s="164"/>
      <c r="V500" s="164"/>
      <c r="W500" s="164"/>
      <c r="X500" s="164"/>
      <c r="Y500" s="164"/>
      <c r="Z500" s="164"/>
    </row>
    <row r="501" ht="13.5" customHeight="1">
      <c r="A501" s="164"/>
      <c r="B501" s="164"/>
      <c r="C501" s="164"/>
      <c r="D501" s="164"/>
      <c r="E501" s="164"/>
      <c r="F501" s="164"/>
      <c r="G501" s="164"/>
      <c r="H501" s="164"/>
      <c r="I501" s="164"/>
      <c r="J501" s="164"/>
      <c r="K501" s="164"/>
      <c r="L501" s="164"/>
      <c r="M501" s="164"/>
      <c r="N501" s="164"/>
      <c r="O501" s="164"/>
      <c r="P501" s="164"/>
      <c r="Q501" s="164"/>
      <c r="R501" s="164"/>
      <c r="S501" s="164"/>
      <c r="T501" s="164"/>
      <c r="U501" s="164"/>
      <c r="V501" s="164"/>
      <c r="W501" s="164"/>
      <c r="X501" s="164"/>
      <c r="Y501" s="164"/>
      <c r="Z501" s="164"/>
    </row>
    <row r="502" ht="13.5" customHeight="1">
      <c r="A502" s="164"/>
      <c r="B502" s="164"/>
      <c r="C502" s="164"/>
      <c r="D502" s="164"/>
      <c r="E502" s="164"/>
      <c r="F502" s="164"/>
      <c r="G502" s="164"/>
      <c r="H502" s="164"/>
      <c r="I502" s="164"/>
      <c r="J502" s="164"/>
      <c r="K502" s="164"/>
      <c r="L502" s="164"/>
      <c r="M502" s="164"/>
      <c r="N502" s="164"/>
      <c r="O502" s="164"/>
      <c r="P502" s="164"/>
      <c r="Q502" s="164"/>
      <c r="R502" s="164"/>
      <c r="S502" s="164"/>
      <c r="T502" s="164"/>
      <c r="U502" s="164"/>
      <c r="V502" s="164"/>
      <c r="W502" s="164"/>
      <c r="X502" s="164"/>
      <c r="Y502" s="164"/>
      <c r="Z502" s="164"/>
    </row>
    <row r="503" ht="13.5" customHeight="1">
      <c r="A503" s="164"/>
      <c r="B503" s="164"/>
      <c r="C503" s="164"/>
      <c r="D503" s="164"/>
      <c r="E503" s="164"/>
      <c r="F503" s="164"/>
      <c r="G503" s="164"/>
      <c r="H503" s="164"/>
      <c r="I503" s="164"/>
      <c r="J503" s="164"/>
      <c r="K503" s="164"/>
      <c r="L503" s="164"/>
      <c r="M503" s="164"/>
      <c r="N503" s="164"/>
      <c r="O503" s="164"/>
      <c r="P503" s="164"/>
      <c r="Q503" s="164"/>
      <c r="R503" s="164"/>
      <c r="S503" s="164"/>
      <c r="T503" s="164"/>
      <c r="U503" s="164"/>
      <c r="V503" s="164"/>
      <c r="W503" s="164"/>
      <c r="X503" s="164"/>
      <c r="Y503" s="164"/>
      <c r="Z503" s="164"/>
    </row>
    <row r="504" ht="13.5" customHeight="1">
      <c r="A504" s="164"/>
      <c r="B504" s="164"/>
      <c r="C504" s="164"/>
      <c r="D504" s="164"/>
      <c r="E504" s="164"/>
      <c r="F504" s="164"/>
      <c r="G504" s="164"/>
      <c r="H504" s="164"/>
      <c r="I504" s="164"/>
      <c r="J504" s="164"/>
      <c r="K504" s="164"/>
      <c r="L504" s="164"/>
      <c r="M504" s="164"/>
      <c r="N504" s="164"/>
      <c r="O504" s="164"/>
      <c r="P504" s="164"/>
      <c r="Q504" s="164"/>
      <c r="R504" s="164"/>
      <c r="S504" s="164"/>
      <c r="T504" s="164"/>
      <c r="U504" s="164"/>
      <c r="V504" s="164"/>
      <c r="W504" s="164"/>
      <c r="X504" s="164"/>
      <c r="Y504" s="164"/>
      <c r="Z504" s="164"/>
    </row>
    <row r="505" ht="13.5" customHeight="1">
      <c r="A505" s="164"/>
      <c r="B505" s="164"/>
      <c r="C505" s="164"/>
      <c r="D505" s="164"/>
      <c r="E505" s="164"/>
      <c r="F505" s="164"/>
      <c r="G505" s="164"/>
      <c r="H505" s="164"/>
      <c r="I505" s="164"/>
      <c r="J505" s="164"/>
      <c r="K505" s="164"/>
      <c r="L505" s="164"/>
      <c r="M505" s="164"/>
      <c r="N505" s="164"/>
      <c r="O505" s="164"/>
      <c r="P505" s="164"/>
      <c r="Q505" s="164"/>
      <c r="R505" s="164"/>
      <c r="S505" s="164"/>
      <c r="T505" s="164"/>
      <c r="U505" s="164"/>
      <c r="V505" s="164"/>
      <c r="W505" s="164"/>
      <c r="X505" s="164"/>
      <c r="Y505" s="164"/>
      <c r="Z505" s="164"/>
    </row>
    <row r="506" ht="13.5" customHeight="1">
      <c r="A506" s="164"/>
      <c r="B506" s="164"/>
      <c r="C506" s="164"/>
      <c r="D506" s="164"/>
      <c r="E506" s="164"/>
      <c r="F506" s="164"/>
      <c r="G506" s="164"/>
      <c r="H506" s="164"/>
      <c r="I506" s="164"/>
      <c r="J506" s="164"/>
      <c r="K506" s="164"/>
      <c r="L506" s="164"/>
      <c r="M506" s="164"/>
      <c r="N506" s="164"/>
      <c r="O506" s="164"/>
      <c r="P506" s="164"/>
      <c r="Q506" s="164"/>
      <c r="R506" s="164"/>
      <c r="S506" s="164"/>
      <c r="T506" s="164"/>
      <c r="U506" s="164"/>
      <c r="V506" s="164"/>
      <c r="W506" s="164"/>
      <c r="X506" s="164"/>
      <c r="Y506" s="164"/>
      <c r="Z506" s="164"/>
    </row>
    <row r="507" ht="13.5" customHeight="1">
      <c r="A507" s="164"/>
      <c r="B507" s="164"/>
      <c r="C507" s="164"/>
      <c r="D507" s="164"/>
      <c r="E507" s="164"/>
      <c r="F507" s="164"/>
      <c r="G507" s="164"/>
      <c r="H507" s="164"/>
      <c r="I507" s="164"/>
      <c r="J507" s="164"/>
      <c r="K507" s="164"/>
      <c r="L507" s="164"/>
      <c r="M507" s="164"/>
      <c r="N507" s="164"/>
      <c r="O507" s="164"/>
      <c r="P507" s="164"/>
      <c r="Q507" s="164"/>
      <c r="R507" s="164"/>
      <c r="S507" s="164"/>
      <c r="T507" s="164"/>
      <c r="U507" s="164"/>
      <c r="V507" s="164"/>
      <c r="W507" s="164"/>
      <c r="X507" s="164"/>
      <c r="Y507" s="164"/>
      <c r="Z507" s="164"/>
    </row>
    <row r="508" ht="13.5" customHeight="1">
      <c r="A508" s="164"/>
      <c r="B508" s="164"/>
      <c r="C508" s="164"/>
      <c r="D508" s="164"/>
      <c r="E508" s="164"/>
      <c r="F508" s="164"/>
      <c r="G508" s="164"/>
      <c r="H508" s="164"/>
      <c r="I508" s="164"/>
      <c r="J508" s="164"/>
      <c r="K508" s="164"/>
      <c r="L508" s="164"/>
      <c r="M508" s="164"/>
      <c r="N508" s="164"/>
      <c r="O508" s="164"/>
      <c r="P508" s="164"/>
      <c r="Q508" s="164"/>
      <c r="R508" s="164"/>
      <c r="S508" s="164"/>
      <c r="T508" s="164"/>
      <c r="U508" s="164"/>
      <c r="V508" s="164"/>
      <c r="W508" s="164"/>
      <c r="X508" s="164"/>
      <c r="Y508" s="164"/>
      <c r="Z508" s="164"/>
    </row>
    <row r="509" ht="13.5" customHeight="1">
      <c r="A509" s="164"/>
      <c r="B509" s="164"/>
      <c r="C509" s="164"/>
      <c r="D509" s="164"/>
      <c r="E509" s="164"/>
      <c r="F509" s="164"/>
      <c r="G509" s="164"/>
      <c r="H509" s="164"/>
      <c r="I509" s="164"/>
      <c r="J509" s="164"/>
      <c r="K509" s="164"/>
      <c r="L509" s="164"/>
      <c r="M509" s="164"/>
      <c r="N509" s="164"/>
      <c r="O509" s="164"/>
      <c r="P509" s="164"/>
      <c r="Q509" s="164"/>
      <c r="R509" s="164"/>
      <c r="S509" s="164"/>
      <c r="T509" s="164"/>
      <c r="U509" s="164"/>
      <c r="V509" s="164"/>
      <c r="W509" s="164"/>
      <c r="X509" s="164"/>
      <c r="Y509" s="164"/>
      <c r="Z509" s="164"/>
    </row>
    <row r="510" ht="13.5" customHeight="1">
      <c r="A510" s="164"/>
      <c r="B510" s="164"/>
      <c r="C510" s="164"/>
      <c r="D510" s="164"/>
      <c r="E510" s="164"/>
      <c r="F510" s="164"/>
      <c r="G510" s="164"/>
      <c r="H510" s="164"/>
      <c r="I510" s="164"/>
      <c r="J510" s="164"/>
      <c r="K510" s="164"/>
      <c r="L510" s="164"/>
      <c r="M510" s="164"/>
      <c r="N510" s="164"/>
      <c r="O510" s="164"/>
      <c r="P510" s="164"/>
      <c r="Q510" s="164"/>
      <c r="R510" s="164"/>
      <c r="S510" s="164"/>
      <c r="T510" s="164"/>
      <c r="U510" s="164"/>
      <c r="V510" s="164"/>
      <c r="W510" s="164"/>
      <c r="X510" s="164"/>
      <c r="Y510" s="164"/>
      <c r="Z510" s="164"/>
    </row>
    <row r="511" ht="13.5" customHeight="1">
      <c r="A511" s="164"/>
      <c r="B511" s="164"/>
      <c r="C511" s="164"/>
      <c r="D511" s="164"/>
      <c r="E511" s="164"/>
      <c r="F511" s="164"/>
      <c r="G511" s="164"/>
      <c r="H511" s="164"/>
      <c r="I511" s="164"/>
      <c r="J511" s="164"/>
      <c r="K511" s="164"/>
      <c r="L511" s="164"/>
      <c r="M511" s="164"/>
      <c r="N511" s="164"/>
      <c r="O511" s="164"/>
      <c r="P511" s="164"/>
      <c r="Q511" s="164"/>
      <c r="R511" s="164"/>
      <c r="S511" s="164"/>
      <c r="T511" s="164"/>
      <c r="U511" s="164"/>
      <c r="V511" s="164"/>
      <c r="W511" s="164"/>
      <c r="X511" s="164"/>
      <c r="Y511" s="164"/>
      <c r="Z511" s="164"/>
    </row>
    <row r="512" ht="13.5" customHeight="1">
      <c r="A512" s="164"/>
      <c r="B512" s="164"/>
      <c r="C512" s="164"/>
      <c r="D512" s="164"/>
      <c r="E512" s="164"/>
      <c r="F512" s="164"/>
      <c r="G512" s="164"/>
      <c r="H512" s="164"/>
      <c r="I512" s="164"/>
      <c r="J512" s="164"/>
      <c r="K512" s="164"/>
      <c r="L512" s="164"/>
      <c r="M512" s="164"/>
      <c r="N512" s="164"/>
      <c r="O512" s="164"/>
      <c r="P512" s="164"/>
      <c r="Q512" s="164"/>
      <c r="R512" s="164"/>
      <c r="S512" s="164"/>
      <c r="T512" s="164"/>
      <c r="U512" s="164"/>
      <c r="V512" s="164"/>
      <c r="W512" s="164"/>
      <c r="X512" s="164"/>
      <c r="Y512" s="164"/>
      <c r="Z512" s="164"/>
    </row>
    <row r="513" ht="13.5" customHeight="1">
      <c r="A513" s="164"/>
      <c r="B513" s="164"/>
      <c r="C513" s="164"/>
      <c r="D513" s="164"/>
      <c r="E513" s="164"/>
      <c r="F513" s="164"/>
      <c r="G513" s="164"/>
      <c r="H513" s="164"/>
      <c r="I513" s="164"/>
      <c r="J513" s="164"/>
      <c r="K513" s="164"/>
      <c r="L513" s="164"/>
      <c r="M513" s="164"/>
      <c r="N513" s="164"/>
      <c r="O513" s="164"/>
      <c r="P513" s="164"/>
      <c r="Q513" s="164"/>
      <c r="R513" s="164"/>
      <c r="S513" s="164"/>
      <c r="T513" s="164"/>
      <c r="U513" s="164"/>
      <c r="V513" s="164"/>
      <c r="W513" s="164"/>
      <c r="X513" s="164"/>
      <c r="Y513" s="164"/>
      <c r="Z513" s="164"/>
    </row>
    <row r="514" ht="13.5" customHeight="1">
      <c r="A514" s="164"/>
      <c r="B514" s="164"/>
      <c r="C514" s="164"/>
      <c r="D514" s="164"/>
      <c r="E514" s="164"/>
      <c r="F514" s="164"/>
      <c r="G514" s="164"/>
      <c r="H514" s="164"/>
      <c r="I514" s="164"/>
      <c r="J514" s="164"/>
      <c r="K514" s="164"/>
      <c r="L514" s="164"/>
      <c r="M514" s="164"/>
      <c r="N514" s="164"/>
      <c r="O514" s="164"/>
      <c r="P514" s="164"/>
      <c r="Q514" s="164"/>
      <c r="R514" s="164"/>
      <c r="S514" s="164"/>
      <c r="T514" s="164"/>
      <c r="U514" s="164"/>
      <c r="V514" s="164"/>
      <c r="W514" s="164"/>
      <c r="X514" s="164"/>
      <c r="Y514" s="164"/>
      <c r="Z514" s="164"/>
    </row>
    <row r="515" ht="13.5" customHeight="1">
      <c r="A515" s="164"/>
      <c r="B515" s="164"/>
      <c r="C515" s="164"/>
      <c r="D515" s="164"/>
      <c r="E515" s="164"/>
      <c r="F515" s="164"/>
      <c r="G515" s="164"/>
      <c r="H515" s="164"/>
      <c r="I515" s="164"/>
      <c r="J515" s="164"/>
      <c r="K515" s="164"/>
      <c r="L515" s="164"/>
      <c r="M515" s="164"/>
      <c r="N515" s="164"/>
      <c r="O515" s="164"/>
      <c r="P515" s="164"/>
      <c r="Q515" s="164"/>
      <c r="R515" s="164"/>
      <c r="S515" s="164"/>
      <c r="T515" s="164"/>
      <c r="U515" s="164"/>
      <c r="V515" s="164"/>
      <c r="W515" s="164"/>
      <c r="X515" s="164"/>
      <c r="Y515" s="164"/>
      <c r="Z515" s="164"/>
    </row>
    <row r="516" ht="13.5" customHeight="1">
      <c r="A516" s="164"/>
      <c r="B516" s="164"/>
      <c r="C516" s="164"/>
      <c r="D516" s="164"/>
      <c r="E516" s="164"/>
      <c r="F516" s="164"/>
      <c r="G516" s="164"/>
      <c r="H516" s="164"/>
      <c r="I516" s="164"/>
      <c r="J516" s="164"/>
      <c r="K516" s="164"/>
      <c r="L516" s="164"/>
      <c r="M516" s="164"/>
      <c r="N516" s="164"/>
      <c r="O516" s="164"/>
      <c r="P516" s="164"/>
      <c r="Q516" s="164"/>
      <c r="R516" s="164"/>
      <c r="S516" s="164"/>
      <c r="T516" s="164"/>
      <c r="U516" s="164"/>
      <c r="V516" s="164"/>
      <c r="W516" s="164"/>
      <c r="X516" s="164"/>
      <c r="Y516" s="164"/>
      <c r="Z516" s="164"/>
    </row>
    <row r="517" ht="13.5" customHeight="1">
      <c r="A517" s="164"/>
      <c r="B517" s="164"/>
      <c r="C517" s="164"/>
      <c r="D517" s="164"/>
      <c r="E517" s="164"/>
      <c r="F517" s="164"/>
      <c r="G517" s="164"/>
      <c r="H517" s="164"/>
      <c r="I517" s="164"/>
      <c r="J517" s="164"/>
      <c r="K517" s="164"/>
      <c r="L517" s="164"/>
      <c r="M517" s="164"/>
      <c r="N517" s="164"/>
      <c r="O517" s="164"/>
      <c r="P517" s="164"/>
      <c r="Q517" s="164"/>
      <c r="R517" s="164"/>
      <c r="S517" s="164"/>
      <c r="T517" s="164"/>
      <c r="U517" s="164"/>
      <c r="V517" s="164"/>
      <c r="W517" s="164"/>
      <c r="X517" s="164"/>
      <c r="Y517" s="164"/>
      <c r="Z517" s="164"/>
    </row>
    <row r="518" ht="13.5" customHeight="1">
      <c r="A518" s="164"/>
      <c r="B518" s="164"/>
      <c r="C518" s="164"/>
      <c r="D518" s="164"/>
      <c r="E518" s="164"/>
      <c r="F518" s="164"/>
      <c r="G518" s="164"/>
      <c r="H518" s="164"/>
      <c r="I518" s="164"/>
      <c r="J518" s="164"/>
      <c r="K518" s="164"/>
      <c r="L518" s="164"/>
      <c r="M518" s="164"/>
      <c r="N518" s="164"/>
      <c r="O518" s="164"/>
      <c r="P518" s="164"/>
      <c r="Q518" s="164"/>
      <c r="R518" s="164"/>
      <c r="S518" s="164"/>
      <c r="T518" s="164"/>
      <c r="U518" s="164"/>
      <c r="V518" s="164"/>
      <c r="W518" s="164"/>
      <c r="X518" s="164"/>
      <c r="Y518" s="164"/>
      <c r="Z518" s="164"/>
    </row>
    <row r="519" ht="13.5" customHeight="1">
      <c r="A519" s="164"/>
      <c r="B519" s="164"/>
      <c r="C519" s="164"/>
      <c r="D519" s="164"/>
      <c r="E519" s="164"/>
      <c r="F519" s="164"/>
      <c r="G519" s="164"/>
      <c r="H519" s="164"/>
      <c r="I519" s="164"/>
      <c r="J519" s="164"/>
      <c r="K519" s="164"/>
      <c r="L519" s="164"/>
      <c r="M519" s="164"/>
      <c r="N519" s="164"/>
      <c r="O519" s="164"/>
      <c r="P519" s="164"/>
      <c r="Q519" s="164"/>
      <c r="R519" s="164"/>
      <c r="S519" s="164"/>
      <c r="T519" s="164"/>
      <c r="U519" s="164"/>
      <c r="V519" s="164"/>
      <c r="W519" s="164"/>
      <c r="X519" s="164"/>
      <c r="Y519" s="164"/>
      <c r="Z519" s="164"/>
    </row>
    <row r="520" ht="13.5" customHeight="1">
      <c r="A520" s="164"/>
      <c r="B520" s="164"/>
      <c r="C520" s="164"/>
      <c r="D520" s="164"/>
      <c r="E520" s="164"/>
      <c r="F520" s="164"/>
      <c r="G520" s="164"/>
      <c r="H520" s="164"/>
      <c r="I520" s="164"/>
      <c r="J520" s="164"/>
      <c r="K520" s="164"/>
      <c r="L520" s="164"/>
      <c r="M520" s="164"/>
      <c r="N520" s="164"/>
      <c r="O520" s="164"/>
      <c r="P520" s="164"/>
      <c r="Q520" s="164"/>
      <c r="R520" s="164"/>
      <c r="S520" s="164"/>
      <c r="T520" s="164"/>
      <c r="U520" s="164"/>
      <c r="V520" s="164"/>
      <c r="W520" s="164"/>
      <c r="X520" s="164"/>
      <c r="Y520" s="164"/>
      <c r="Z520" s="164"/>
    </row>
    <row r="521" ht="13.5" customHeight="1">
      <c r="A521" s="164"/>
      <c r="B521" s="164"/>
      <c r="C521" s="164"/>
      <c r="D521" s="164"/>
      <c r="E521" s="164"/>
      <c r="F521" s="164"/>
      <c r="G521" s="164"/>
      <c r="H521" s="164"/>
      <c r="I521" s="164"/>
      <c r="J521" s="164"/>
      <c r="K521" s="164"/>
      <c r="L521" s="164"/>
      <c r="M521" s="164"/>
      <c r="N521" s="164"/>
      <c r="O521" s="164"/>
      <c r="P521" s="164"/>
      <c r="Q521" s="164"/>
      <c r="R521" s="164"/>
      <c r="S521" s="164"/>
      <c r="T521" s="164"/>
      <c r="U521" s="164"/>
      <c r="V521" s="164"/>
      <c r="W521" s="164"/>
      <c r="X521" s="164"/>
      <c r="Y521" s="164"/>
      <c r="Z521" s="164"/>
    </row>
    <row r="522" ht="13.5" customHeight="1">
      <c r="A522" s="164"/>
      <c r="B522" s="164"/>
      <c r="C522" s="164"/>
      <c r="D522" s="164"/>
      <c r="E522" s="164"/>
      <c r="F522" s="164"/>
      <c r="G522" s="164"/>
      <c r="H522" s="164"/>
      <c r="I522" s="164"/>
      <c r="J522" s="164"/>
      <c r="K522" s="164"/>
      <c r="L522" s="164"/>
      <c r="M522" s="164"/>
      <c r="N522" s="164"/>
      <c r="O522" s="164"/>
      <c r="P522" s="164"/>
      <c r="Q522" s="164"/>
      <c r="R522" s="164"/>
      <c r="S522" s="164"/>
      <c r="T522" s="164"/>
      <c r="U522" s="164"/>
      <c r="V522" s="164"/>
      <c r="W522" s="164"/>
      <c r="X522" s="164"/>
      <c r="Y522" s="164"/>
      <c r="Z522" s="164"/>
    </row>
    <row r="523" ht="13.5" customHeight="1">
      <c r="A523" s="164"/>
      <c r="B523" s="164"/>
      <c r="C523" s="164"/>
      <c r="D523" s="164"/>
      <c r="E523" s="164"/>
      <c r="F523" s="164"/>
      <c r="G523" s="164"/>
      <c r="H523" s="164"/>
      <c r="I523" s="164"/>
      <c r="J523" s="164"/>
      <c r="K523" s="164"/>
      <c r="L523" s="164"/>
      <c r="M523" s="164"/>
      <c r="N523" s="164"/>
      <c r="O523" s="164"/>
      <c r="P523" s="164"/>
      <c r="Q523" s="164"/>
      <c r="R523" s="164"/>
      <c r="S523" s="164"/>
      <c r="T523" s="164"/>
      <c r="U523" s="164"/>
      <c r="V523" s="164"/>
      <c r="W523" s="164"/>
      <c r="X523" s="164"/>
      <c r="Y523" s="164"/>
      <c r="Z523" s="164"/>
    </row>
    <row r="524" ht="13.5" customHeight="1">
      <c r="A524" s="164"/>
      <c r="B524" s="164"/>
      <c r="C524" s="164"/>
      <c r="D524" s="164"/>
      <c r="E524" s="164"/>
      <c r="F524" s="164"/>
      <c r="G524" s="164"/>
      <c r="H524" s="164"/>
      <c r="I524" s="164"/>
      <c r="J524" s="164"/>
      <c r="K524" s="164"/>
      <c r="L524" s="164"/>
      <c r="M524" s="164"/>
      <c r="N524" s="164"/>
      <c r="O524" s="164"/>
      <c r="P524" s="164"/>
      <c r="Q524" s="164"/>
      <c r="R524" s="164"/>
      <c r="S524" s="164"/>
      <c r="T524" s="164"/>
      <c r="U524" s="164"/>
      <c r="V524" s="164"/>
      <c r="W524" s="164"/>
      <c r="X524" s="164"/>
      <c r="Y524" s="164"/>
      <c r="Z524" s="164"/>
    </row>
    <row r="525" ht="13.5" customHeight="1">
      <c r="A525" s="164"/>
      <c r="B525" s="164"/>
      <c r="C525" s="164"/>
      <c r="D525" s="164"/>
      <c r="E525" s="164"/>
      <c r="F525" s="164"/>
      <c r="G525" s="164"/>
      <c r="H525" s="164"/>
      <c r="I525" s="164"/>
      <c r="J525" s="164"/>
      <c r="K525" s="164"/>
      <c r="L525" s="164"/>
      <c r="M525" s="164"/>
      <c r="N525" s="164"/>
      <c r="O525" s="164"/>
      <c r="P525" s="164"/>
      <c r="Q525" s="164"/>
      <c r="R525" s="164"/>
      <c r="S525" s="164"/>
      <c r="T525" s="164"/>
      <c r="U525" s="164"/>
      <c r="V525" s="164"/>
      <c r="W525" s="164"/>
      <c r="X525" s="164"/>
      <c r="Y525" s="164"/>
      <c r="Z525" s="164"/>
    </row>
    <row r="526" ht="13.5" customHeight="1">
      <c r="A526" s="164"/>
      <c r="B526" s="164"/>
      <c r="C526" s="164"/>
      <c r="D526" s="164"/>
      <c r="E526" s="164"/>
      <c r="F526" s="164"/>
      <c r="G526" s="164"/>
      <c r="H526" s="164"/>
      <c r="I526" s="164"/>
      <c r="J526" s="164"/>
      <c r="K526" s="164"/>
      <c r="L526" s="164"/>
      <c r="M526" s="164"/>
      <c r="N526" s="164"/>
      <c r="O526" s="164"/>
      <c r="P526" s="164"/>
      <c r="Q526" s="164"/>
      <c r="R526" s="164"/>
      <c r="S526" s="164"/>
      <c r="T526" s="164"/>
      <c r="U526" s="164"/>
      <c r="V526" s="164"/>
      <c r="W526" s="164"/>
      <c r="X526" s="164"/>
      <c r="Y526" s="164"/>
      <c r="Z526" s="164"/>
    </row>
    <row r="527" ht="13.5" customHeight="1">
      <c r="A527" s="164"/>
      <c r="B527" s="164"/>
      <c r="C527" s="164"/>
      <c r="D527" s="164"/>
      <c r="E527" s="164"/>
      <c r="F527" s="164"/>
      <c r="G527" s="164"/>
      <c r="H527" s="164"/>
      <c r="I527" s="164"/>
      <c r="J527" s="164"/>
      <c r="K527" s="164"/>
      <c r="L527" s="164"/>
      <c r="M527" s="164"/>
      <c r="N527" s="164"/>
      <c r="O527" s="164"/>
      <c r="P527" s="164"/>
      <c r="Q527" s="164"/>
      <c r="R527" s="164"/>
      <c r="S527" s="164"/>
      <c r="T527" s="164"/>
      <c r="U527" s="164"/>
      <c r="V527" s="164"/>
      <c r="W527" s="164"/>
      <c r="X527" s="164"/>
      <c r="Y527" s="164"/>
      <c r="Z527" s="164"/>
    </row>
    <row r="528" ht="13.5" customHeight="1">
      <c r="A528" s="164"/>
      <c r="B528" s="164"/>
      <c r="C528" s="164"/>
      <c r="D528" s="164"/>
      <c r="E528" s="164"/>
      <c r="F528" s="164"/>
      <c r="G528" s="164"/>
      <c r="H528" s="164"/>
      <c r="I528" s="164"/>
      <c r="J528" s="164"/>
      <c r="K528" s="164"/>
      <c r="L528" s="164"/>
      <c r="M528" s="164"/>
      <c r="N528" s="164"/>
      <c r="O528" s="164"/>
      <c r="P528" s="164"/>
      <c r="Q528" s="164"/>
      <c r="R528" s="164"/>
      <c r="S528" s="164"/>
      <c r="T528" s="164"/>
      <c r="U528" s="164"/>
      <c r="V528" s="164"/>
      <c r="W528" s="164"/>
      <c r="X528" s="164"/>
      <c r="Y528" s="164"/>
      <c r="Z528" s="164"/>
    </row>
    <row r="529" ht="13.5" customHeight="1">
      <c r="A529" s="164"/>
      <c r="B529" s="164"/>
      <c r="C529" s="164"/>
      <c r="D529" s="164"/>
      <c r="E529" s="164"/>
      <c r="F529" s="164"/>
      <c r="G529" s="164"/>
      <c r="H529" s="164"/>
      <c r="I529" s="164"/>
      <c r="J529" s="164"/>
      <c r="K529" s="164"/>
      <c r="L529" s="164"/>
      <c r="M529" s="164"/>
      <c r="N529" s="164"/>
      <c r="O529" s="164"/>
      <c r="P529" s="164"/>
      <c r="Q529" s="164"/>
      <c r="R529" s="164"/>
      <c r="S529" s="164"/>
      <c r="T529" s="164"/>
      <c r="U529" s="164"/>
      <c r="V529" s="164"/>
      <c r="W529" s="164"/>
      <c r="X529" s="164"/>
      <c r="Y529" s="164"/>
      <c r="Z529" s="164"/>
    </row>
    <row r="530" ht="13.5" customHeight="1">
      <c r="A530" s="164"/>
      <c r="B530" s="164"/>
      <c r="C530" s="164"/>
      <c r="D530" s="164"/>
      <c r="E530" s="164"/>
      <c r="F530" s="164"/>
      <c r="G530" s="164"/>
      <c r="H530" s="164"/>
      <c r="I530" s="164"/>
      <c r="J530" s="164"/>
      <c r="K530" s="164"/>
      <c r="L530" s="164"/>
      <c r="M530" s="164"/>
      <c r="N530" s="164"/>
      <c r="O530" s="164"/>
      <c r="P530" s="164"/>
      <c r="Q530" s="164"/>
      <c r="R530" s="164"/>
      <c r="S530" s="164"/>
      <c r="T530" s="164"/>
      <c r="U530" s="164"/>
      <c r="V530" s="164"/>
      <c r="W530" s="164"/>
      <c r="X530" s="164"/>
      <c r="Y530" s="164"/>
      <c r="Z530" s="164"/>
    </row>
    <row r="531" ht="13.5" customHeight="1">
      <c r="A531" s="164"/>
      <c r="B531" s="164"/>
      <c r="C531" s="164"/>
      <c r="D531" s="164"/>
      <c r="E531" s="164"/>
      <c r="F531" s="164"/>
      <c r="G531" s="164"/>
      <c r="H531" s="164"/>
      <c r="I531" s="164"/>
      <c r="J531" s="164"/>
      <c r="K531" s="164"/>
      <c r="L531" s="164"/>
      <c r="M531" s="164"/>
      <c r="N531" s="164"/>
      <c r="O531" s="164"/>
      <c r="P531" s="164"/>
      <c r="Q531" s="164"/>
      <c r="R531" s="164"/>
      <c r="S531" s="164"/>
      <c r="T531" s="164"/>
      <c r="U531" s="164"/>
      <c r="V531" s="164"/>
      <c r="W531" s="164"/>
      <c r="X531" s="164"/>
      <c r="Y531" s="164"/>
      <c r="Z531" s="164"/>
    </row>
    <row r="532" ht="13.5" customHeight="1">
      <c r="A532" s="164"/>
      <c r="B532" s="164"/>
      <c r="C532" s="164"/>
      <c r="D532" s="164"/>
      <c r="E532" s="164"/>
      <c r="F532" s="164"/>
      <c r="G532" s="164"/>
      <c r="H532" s="164"/>
      <c r="I532" s="164"/>
      <c r="J532" s="164"/>
      <c r="K532" s="164"/>
      <c r="L532" s="164"/>
      <c r="M532" s="164"/>
      <c r="N532" s="164"/>
      <c r="O532" s="164"/>
      <c r="P532" s="164"/>
      <c r="Q532" s="164"/>
      <c r="R532" s="164"/>
      <c r="S532" s="164"/>
      <c r="T532" s="164"/>
      <c r="U532" s="164"/>
      <c r="V532" s="164"/>
      <c r="W532" s="164"/>
      <c r="X532" s="164"/>
      <c r="Y532" s="164"/>
      <c r="Z532" s="164"/>
    </row>
    <row r="533" ht="13.5" customHeight="1">
      <c r="A533" s="164"/>
      <c r="B533" s="164"/>
      <c r="C533" s="164"/>
      <c r="D533" s="164"/>
      <c r="E533" s="164"/>
      <c r="F533" s="164"/>
      <c r="G533" s="164"/>
      <c r="H533" s="164"/>
      <c r="I533" s="164"/>
      <c r="J533" s="164"/>
      <c r="K533" s="164"/>
      <c r="L533" s="164"/>
      <c r="M533" s="164"/>
      <c r="N533" s="164"/>
      <c r="O533" s="164"/>
      <c r="P533" s="164"/>
      <c r="Q533" s="164"/>
      <c r="R533" s="164"/>
      <c r="S533" s="164"/>
      <c r="T533" s="164"/>
      <c r="U533" s="164"/>
      <c r="V533" s="164"/>
      <c r="W533" s="164"/>
      <c r="X533" s="164"/>
      <c r="Y533" s="164"/>
      <c r="Z533" s="164"/>
    </row>
    <row r="534" ht="13.5" customHeight="1">
      <c r="A534" s="164"/>
      <c r="B534" s="164"/>
      <c r="C534" s="164"/>
      <c r="D534" s="164"/>
      <c r="E534" s="164"/>
      <c r="F534" s="164"/>
      <c r="G534" s="164"/>
      <c r="H534" s="164"/>
      <c r="I534" s="164"/>
      <c r="J534" s="164"/>
      <c r="K534" s="164"/>
      <c r="L534" s="164"/>
      <c r="M534" s="164"/>
      <c r="N534" s="164"/>
      <c r="O534" s="164"/>
      <c r="P534" s="164"/>
      <c r="Q534" s="164"/>
      <c r="R534" s="164"/>
      <c r="S534" s="164"/>
      <c r="T534" s="164"/>
      <c r="U534" s="164"/>
      <c r="V534" s="164"/>
      <c r="W534" s="164"/>
      <c r="X534" s="164"/>
      <c r="Y534" s="164"/>
      <c r="Z534" s="164"/>
    </row>
    <row r="535" ht="13.5" customHeight="1">
      <c r="A535" s="164"/>
      <c r="B535" s="164"/>
      <c r="C535" s="164"/>
      <c r="D535" s="164"/>
      <c r="E535" s="164"/>
      <c r="F535" s="164"/>
      <c r="G535" s="164"/>
      <c r="H535" s="164"/>
      <c r="I535" s="164"/>
      <c r="J535" s="164"/>
      <c r="K535" s="164"/>
      <c r="L535" s="164"/>
      <c r="M535" s="164"/>
      <c r="N535" s="164"/>
      <c r="O535" s="164"/>
      <c r="P535" s="164"/>
      <c r="Q535" s="164"/>
      <c r="R535" s="164"/>
      <c r="S535" s="164"/>
      <c r="T535" s="164"/>
      <c r="U535" s="164"/>
      <c r="V535" s="164"/>
      <c r="W535" s="164"/>
      <c r="X535" s="164"/>
      <c r="Y535" s="164"/>
      <c r="Z535" s="164"/>
    </row>
    <row r="536" ht="13.5" customHeight="1">
      <c r="A536" s="164"/>
      <c r="B536" s="164"/>
      <c r="C536" s="164"/>
      <c r="D536" s="164"/>
      <c r="E536" s="164"/>
      <c r="F536" s="164"/>
      <c r="G536" s="164"/>
      <c r="H536" s="164"/>
      <c r="I536" s="164"/>
      <c r="J536" s="164"/>
      <c r="K536" s="164"/>
      <c r="L536" s="164"/>
      <c r="M536" s="164"/>
      <c r="N536" s="164"/>
      <c r="O536" s="164"/>
      <c r="P536" s="164"/>
      <c r="Q536" s="164"/>
      <c r="R536" s="164"/>
      <c r="S536" s="164"/>
      <c r="T536" s="164"/>
      <c r="U536" s="164"/>
      <c r="V536" s="164"/>
      <c r="W536" s="164"/>
      <c r="X536" s="164"/>
      <c r="Y536" s="164"/>
      <c r="Z536" s="164"/>
    </row>
    <row r="537" ht="13.5" customHeight="1">
      <c r="A537" s="164"/>
      <c r="B537" s="164"/>
      <c r="C537" s="164"/>
      <c r="D537" s="164"/>
      <c r="E537" s="164"/>
      <c r="F537" s="164"/>
      <c r="G537" s="164"/>
      <c r="H537" s="164"/>
      <c r="I537" s="164"/>
      <c r="J537" s="164"/>
      <c r="K537" s="164"/>
      <c r="L537" s="164"/>
      <c r="M537" s="164"/>
      <c r="N537" s="164"/>
      <c r="O537" s="164"/>
      <c r="P537" s="164"/>
      <c r="Q537" s="164"/>
      <c r="R537" s="164"/>
      <c r="S537" s="164"/>
      <c r="T537" s="164"/>
      <c r="U537" s="164"/>
      <c r="V537" s="164"/>
      <c r="W537" s="164"/>
      <c r="X537" s="164"/>
      <c r="Y537" s="164"/>
      <c r="Z537" s="164"/>
    </row>
    <row r="538" ht="13.5" customHeight="1">
      <c r="A538" s="164"/>
      <c r="B538" s="164"/>
      <c r="C538" s="164"/>
      <c r="D538" s="164"/>
      <c r="E538" s="164"/>
      <c r="F538" s="164"/>
      <c r="G538" s="164"/>
      <c r="H538" s="164"/>
      <c r="I538" s="164"/>
      <c r="J538" s="164"/>
      <c r="K538" s="164"/>
      <c r="L538" s="164"/>
      <c r="M538" s="164"/>
      <c r="N538" s="164"/>
      <c r="O538" s="164"/>
      <c r="P538" s="164"/>
      <c r="Q538" s="164"/>
      <c r="R538" s="164"/>
      <c r="S538" s="164"/>
      <c r="T538" s="164"/>
      <c r="U538" s="164"/>
      <c r="V538" s="164"/>
      <c r="W538" s="164"/>
      <c r="X538" s="164"/>
      <c r="Y538" s="164"/>
      <c r="Z538" s="164"/>
    </row>
    <row r="539" ht="13.5" customHeight="1">
      <c r="A539" s="164"/>
      <c r="B539" s="164"/>
      <c r="C539" s="164"/>
      <c r="D539" s="164"/>
      <c r="E539" s="164"/>
      <c r="F539" s="164"/>
      <c r="G539" s="164"/>
      <c r="H539" s="164"/>
      <c r="I539" s="164"/>
      <c r="J539" s="164"/>
      <c r="K539" s="164"/>
      <c r="L539" s="164"/>
      <c r="M539" s="164"/>
      <c r="N539" s="164"/>
      <c r="O539" s="164"/>
      <c r="P539" s="164"/>
      <c r="Q539" s="164"/>
      <c r="R539" s="164"/>
      <c r="S539" s="164"/>
      <c r="T539" s="164"/>
      <c r="U539" s="164"/>
      <c r="V539" s="164"/>
      <c r="W539" s="164"/>
      <c r="X539" s="164"/>
      <c r="Y539" s="164"/>
      <c r="Z539" s="164"/>
    </row>
    <row r="540" ht="13.5" customHeight="1">
      <c r="A540" s="164"/>
      <c r="B540" s="164"/>
      <c r="C540" s="164"/>
      <c r="D540" s="164"/>
      <c r="E540" s="164"/>
      <c r="F540" s="164"/>
      <c r="G540" s="164"/>
      <c r="H540" s="164"/>
      <c r="I540" s="164"/>
      <c r="J540" s="164"/>
      <c r="K540" s="164"/>
      <c r="L540" s="164"/>
      <c r="M540" s="164"/>
      <c r="N540" s="164"/>
      <c r="O540" s="164"/>
      <c r="P540" s="164"/>
      <c r="Q540" s="164"/>
      <c r="R540" s="164"/>
      <c r="S540" s="164"/>
      <c r="T540" s="164"/>
      <c r="U540" s="164"/>
      <c r="V540" s="164"/>
      <c r="W540" s="164"/>
      <c r="X540" s="164"/>
      <c r="Y540" s="164"/>
      <c r="Z540" s="164"/>
    </row>
    <row r="541" ht="13.5" customHeight="1">
      <c r="A541" s="164"/>
      <c r="B541" s="164"/>
      <c r="C541" s="164"/>
      <c r="D541" s="164"/>
      <c r="E541" s="164"/>
      <c r="F541" s="164"/>
      <c r="G541" s="164"/>
      <c r="H541" s="164"/>
      <c r="I541" s="164"/>
      <c r="J541" s="164"/>
      <c r="K541" s="164"/>
      <c r="L541" s="164"/>
      <c r="M541" s="164"/>
      <c r="N541" s="164"/>
      <c r="O541" s="164"/>
      <c r="P541" s="164"/>
      <c r="Q541" s="164"/>
      <c r="R541" s="164"/>
      <c r="S541" s="164"/>
      <c r="T541" s="164"/>
      <c r="U541" s="164"/>
      <c r="V541" s="164"/>
      <c r="W541" s="164"/>
      <c r="X541" s="164"/>
      <c r="Y541" s="164"/>
      <c r="Z541" s="164"/>
    </row>
    <row r="542" ht="13.5" customHeight="1">
      <c r="A542" s="164"/>
      <c r="B542" s="164"/>
      <c r="C542" s="164"/>
      <c r="D542" s="164"/>
      <c r="E542" s="164"/>
      <c r="F542" s="164"/>
      <c r="G542" s="164"/>
      <c r="H542" s="164"/>
      <c r="I542" s="164"/>
      <c r="J542" s="164"/>
      <c r="K542" s="164"/>
      <c r="L542" s="164"/>
      <c r="M542" s="164"/>
      <c r="N542" s="164"/>
      <c r="O542" s="164"/>
      <c r="P542" s="164"/>
      <c r="Q542" s="164"/>
      <c r="R542" s="164"/>
      <c r="S542" s="164"/>
      <c r="T542" s="164"/>
      <c r="U542" s="164"/>
      <c r="V542" s="164"/>
      <c r="W542" s="164"/>
      <c r="X542" s="164"/>
      <c r="Y542" s="164"/>
      <c r="Z542" s="164"/>
    </row>
    <row r="543" ht="13.5" customHeight="1">
      <c r="A543" s="164"/>
      <c r="B543" s="164"/>
      <c r="C543" s="164"/>
      <c r="D543" s="164"/>
      <c r="E543" s="164"/>
      <c r="F543" s="164"/>
      <c r="G543" s="164"/>
      <c r="H543" s="164"/>
      <c r="I543" s="164"/>
      <c r="J543" s="164"/>
      <c r="K543" s="164"/>
      <c r="L543" s="164"/>
      <c r="M543" s="164"/>
      <c r="N543" s="164"/>
      <c r="O543" s="164"/>
      <c r="P543" s="164"/>
      <c r="Q543" s="164"/>
      <c r="R543" s="164"/>
      <c r="S543" s="164"/>
      <c r="T543" s="164"/>
      <c r="U543" s="164"/>
      <c r="V543" s="164"/>
      <c r="W543" s="164"/>
      <c r="X543" s="164"/>
      <c r="Y543" s="164"/>
      <c r="Z543" s="164"/>
    </row>
    <row r="544" ht="13.5" customHeight="1">
      <c r="A544" s="164"/>
      <c r="B544" s="164"/>
      <c r="C544" s="164"/>
      <c r="D544" s="164"/>
      <c r="E544" s="164"/>
      <c r="F544" s="164"/>
      <c r="G544" s="164"/>
      <c r="H544" s="164"/>
      <c r="I544" s="164"/>
      <c r="J544" s="164"/>
      <c r="K544" s="164"/>
      <c r="L544" s="164"/>
      <c r="M544" s="164"/>
      <c r="N544" s="164"/>
      <c r="O544" s="164"/>
      <c r="P544" s="164"/>
      <c r="Q544" s="164"/>
      <c r="R544" s="164"/>
      <c r="S544" s="164"/>
      <c r="T544" s="164"/>
      <c r="U544" s="164"/>
      <c r="V544" s="164"/>
      <c r="W544" s="164"/>
      <c r="X544" s="164"/>
      <c r="Y544" s="164"/>
      <c r="Z544" s="164"/>
    </row>
    <row r="545" ht="13.5" customHeight="1">
      <c r="A545" s="164"/>
      <c r="B545" s="164"/>
      <c r="C545" s="164"/>
      <c r="D545" s="164"/>
      <c r="E545" s="164"/>
      <c r="F545" s="164"/>
      <c r="G545" s="164"/>
      <c r="H545" s="164"/>
      <c r="I545" s="164"/>
      <c r="J545" s="164"/>
      <c r="K545" s="164"/>
      <c r="L545" s="164"/>
      <c r="M545" s="164"/>
      <c r="N545" s="164"/>
      <c r="O545" s="164"/>
      <c r="P545" s="164"/>
      <c r="Q545" s="164"/>
      <c r="R545" s="164"/>
      <c r="S545" s="164"/>
      <c r="T545" s="164"/>
      <c r="U545" s="164"/>
      <c r="V545" s="164"/>
      <c r="W545" s="164"/>
      <c r="X545" s="164"/>
      <c r="Y545" s="164"/>
      <c r="Z545" s="164"/>
    </row>
    <row r="546" ht="13.5" customHeight="1">
      <c r="A546" s="164"/>
      <c r="B546" s="164"/>
      <c r="C546" s="164"/>
      <c r="D546" s="164"/>
      <c r="E546" s="164"/>
      <c r="F546" s="164"/>
      <c r="G546" s="164"/>
      <c r="H546" s="164"/>
      <c r="I546" s="164"/>
      <c r="J546" s="164"/>
      <c r="K546" s="164"/>
      <c r="L546" s="164"/>
      <c r="M546" s="164"/>
      <c r="N546" s="164"/>
      <c r="O546" s="164"/>
      <c r="P546" s="164"/>
      <c r="Q546" s="164"/>
      <c r="R546" s="164"/>
      <c r="S546" s="164"/>
      <c r="T546" s="164"/>
      <c r="U546" s="164"/>
      <c r="V546" s="164"/>
      <c r="W546" s="164"/>
      <c r="X546" s="164"/>
      <c r="Y546" s="164"/>
      <c r="Z546" s="164"/>
    </row>
    <row r="547" ht="13.5" customHeight="1">
      <c r="A547" s="164"/>
      <c r="B547" s="164"/>
      <c r="C547" s="164"/>
      <c r="D547" s="164"/>
      <c r="E547" s="164"/>
      <c r="F547" s="164"/>
      <c r="G547" s="164"/>
      <c r="H547" s="164"/>
      <c r="I547" s="164"/>
      <c r="J547" s="164"/>
      <c r="K547" s="164"/>
      <c r="L547" s="164"/>
      <c r="M547" s="164"/>
      <c r="N547" s="164"/>
      <c r="O547" s="164"/>
      <c r="P547" s="164"/>
      <c r="Q547" s="164"/>
      <c r="R547" s="164"/>
      <c r="S547" s="164"/>
      <c r="T547" s="164"/>
      <c r="U547" s="164"/>
      <c r="V547" s="164"/>
      <c r="W547" s="164"/>
      <c r="X547" s="164"/>
      <c r="Y547" s="164"/>
      <c r="Z547" s="164"/>
    </row>
    <row r="548" ht="13.5" customHeight="1">
      <c r="A548" s="164"/>
      <c r="B548" s="164"/>
      <c r="C548" s="164"/>
      <c r="D548" s="164"/>
      <c r="E548" s="164"/>
      <c r="F548" s="164"/>
      <c r="G548" s="164"/>
      <c r="H548" s="164"/>
      <c r="I548" s="164"/>
      <c r="J548" s="164"/>
      <c r="K548" s="164"/>
      <c r="L548" s="164"/>
      <c r="M548" s="164"/>
      <c r="N548" s="164"/>
      <c r="O548" s="164"/>
      <c r="P548" s="164"/>
      <c r="Q548" s="164"/>
      <c r="R548" s="164"/>
      <c r="S548" s="164"/>
      <c r="T548" s="164"/>
      <c r="U548" s="164"/>
      <c r="V548" s="164"/>
      <c r="W548" s="164"/>
      <c r="X548" s="164"/>
      <c r="Y548" s="164"/>
      <c r="Z548" s="164"/>
    </row>
    <row r="549" ht="13.5" customHeight="1">
      <c r="A549" s="164"/>
      <c r="B549" s="164"/>
      <c r="C549" s="164"/>
      <c r="D549" s="164"/>
      <c r="E549" s="164"/>
      <c r="F549" s="164"/>
      <c r="G549" s="164"/>
      <c r="H549" s="164"/>
      <c r="I549" s="164"/>
      <c r="J549" s="164"/>
      <c r="K549" s="164"/>
      <c r="L549" s="164"/>
      <c r="M549" s="164"/>
      <c r="N549" s="164"/>
      <c r="O549" s="164"/>
      <c r="P549" s="164"/>
      <c r="Q549" s="164"/>
      <c r="R549" s="164"/>
      <c r="S549" s="164"/>
      <c r="T549" s="164"/>
      <c r="U549" s="164"/>
      <c r="V549" s="164"/>
      <c r="W549" s="164"/>
      <c r="X549" s="164"/>
      <c r="Y549" s="164"/>
      <c r="Z549" s="164"/>
    </row>
    <row r="550" ht="13.5" customHeight="1">
      <c r="A550" s="164"/>
      <c r="B550" s="164"/>
      <c r="C550" s="164"/>
      <c r="D550" s="164"/>
      <c r="E550" s="164"/>
      <c r="F550" s="164"/>
      <c r="G550" s="164"/>
      <c r="H550" s="164"/>
      <c r="I550" s="164"/>
      <c r="J550" s="164"/>
      <c r="K550" s="164"/>
      <c r="L550" s="164"/>
      <c r="M550" s="164"/>
      <c r="N550" s="164"/>
      <c r="O550" s="164"/>
      <c r="P550" s="164"/>
      <c r="Q550" s="164"/>
      <c r="R550" s="164"/>
      <c r="S550" s="164"/>
      <c r="T550" s="164"/>
      <c r="U550" s="164"/>
      <c r="V550" s="164"/>
      <c r="W550" s="164"/>
      <c r="X550" s="164"/>
      <c r="Y550" s="164"/>
      <c r="Z550" s="164"/>
    </row>
    <row r="551" ht="13.5" customHeight="1">
      <c r="A551" s="164"/>
      <c r="B551" s="164"/>
      <c r="C551" s="164"/>
      <c r="D551" s="164"/>
      <c r="E551" s="164"/>
      <c r="F551" s="164"/>
      <c r="G551" s="164"/>
      <c r="H551" s="164"/>
      <c r="I551" s="164"/>
      <c r="J551" s="164"/>
      <c r="K551" s="164"/>
      <c r="L551" s="164"/>
      <c r="M551" s="164"/>
      <c r="N551" s="164"/>
      <c r="O551" s="164"/>
      <c r="P551" s="164"/>
      <c r="Q551" s="164"/>
      <c r="R551" s="164"/>
      <c r="S551" s="164"/>
      <c r="T551" s="164"/>
      <c r="U551" s="164"/>
      <c r="V551" s="164"/>
      <c r="W551" s="164"/>
      <c r="X551" s="164"/>
      <c r="Y551" s="164"/>
      <c r="Z551" s="164"/>
    </row>
    <row r="552" ht="13.5" customHeight="1">
      <c r="A552" s="164"/>
      <c r="B552" s="164"/>
      <c r="C552" s="164"/>
      <c r="D552" s="164"/>
      <c r="E552" s="164"/>
      <c r="F552" s="164"/>
      <c r="G552" s="164"/>
      <c r="H552" s="164"/>
      <c r="I552" s="164"/>
      <c r="J552" s="164"/>
      <c r="K552" s="164"/>
      <c r="L552" s="164"/>
      <c r="M552" s="164"/>
      <c r="N552" s="164"/>
      <c r="O552" s="164"/>
      <c r="P552" s="164"/>
      <c r="Q552" s="164"/>
      <c r="R552" s="164"/>
      <c r="S552" s="164"/>
      <c r="T552" s="164"/>
      <c r="U552" s="164"/>
      <c r="V552" s="164"/>
      <c r="W552" s="164"/>
      <c r="X552" s="164"/>
      <c r="Y552" s="164"/>
      <c r="Z552" s="164"/>
    </row>
    <row r="553" ht="13.5" customHeight="1">
      <c r="A553" s="164"/>
      <c r="B553" s="164"/>
      <c r="C553" s="164"/>
      <c r="D553" s="164"/>
      <c r="E553" s="164"/>
      <c r="F553" s="164"/>
      <c r="G553" s="164"/>
      <c r="H553" s="164"/>
      <c r="I553" s="164"/>
      <c r="J553" s="164"/>
      <c r="K553" s="164"/>
      <c r="L553" s="164"/>
      <c r="M553" s="164"/>
      <c r="N553" s="164"/>
      <c r="O553" s="164"/>
      <c r="P553" s="164"/>
      <c r="Q553" s="164"/>
      <c r="R553" s="164"/>
      <c r="S553" s="164"/>
      <c r="T553" s="164"/>
      <c r="U553" s="164"/>
      <c r="V553" s="164"/>
      <c r="W553" s="164"/>
      <c r="X553" s="164"/>
      <c r="Y553" s="164"/>
      <c r="Z553" s="164"/>
    </row>
    <row r="554" ht="13.5" customHeight="1">
      <c r="A554" s="164"/>
      <c r="B554" s="164"/>
      <c r="C554" s="164"/>
      <c r="D554" s="164"/>
      <c r="E554" s="164"/>
      <c r="F554" s="164"/>
      <c r="G554" s="164"/>
      <c r="H554" s="164"/>
      <c r="I554" s="164"/>
      <c r="J554" s="164"/>
      <c r="K554" s="164"/>
      <c r="L554" s="164"/>
      <c r="M554" s="164"/>
      <c r="N554" s="164"/>
      <c r="O554" s="164"/>
      <c r="P554" s="164"/>
      <c r="Q554" s="164"/>
      <c r="R554" s="164"/>
      <c r="S554" s="164"/>
      <c r="T554" s="164"/>
      <c r="U554" s="164"/>
      <c r="V554" s="164"/>
      <c r="W554" s="164"/>
      <c r="X554" s="164"/>
      <c r="Y554" s="164"/>
      <c r="Z554" s="164"/>
    </row>
    <row r="555" ht="13.5" customHeight="1">
      <c r="A555" s="164"/>
      <c r="B555" s="164"/>
      <c r="C555" s="164"/>
      <c r="D555" s="164"/>
      <c r="E555" s="164"/>
      <c r="F555" s="164"/>
      <c r="G555" s="164"/>
      <c r="H555" s="164"/>
      <c r="I555" s="164"/>
      <c r="J555" s="164"/>
      <c r="K555" s="164"/>
      <c r="L555" s="164"/>
      <c r="M555" s="164"/>
      <c r="N555" s="164"/>
      <c r="O555" s="164"/>
      <c r="P555" s="164"/>
      <c r="Q555" s="164"/>
      <c r="R555" s="164"/>
      <c r="S555" s="164"/>
      <c r="T555" s="164"/>
      <c r="U555" s="164"/>
      <c r="V555" s="164"/>
      <c r="W555" s="164"/>
      <c r="X555" s="164"/>
      <c r="Y555" s="164"/>
      <c r="Z555" s="164"/>
    </row>
    <row r="556" ht="13.5" customHeight="1">
      <c r="A556" s="164"/>
      <c r="B556" s="164"/>
      <c r="C556" s="164"/>
      <c r="D556" s="164"/>
      <c r="E556" s="164"/>
      <c r="F556" s="164"/>
      <c r="G556" s="164"/>
      <c r="H556" s="164"/>
      <c r="I556" s="164"/>
      <c r="J556" s="164"/>
      <c r="K556" s="164"/>
      <c r="L556" s="164"/>
      <c r="M556" s="164"/>
      <c r="N556" s="164"/>
      <c r="O556" s="164"/>
      <c r="P556" s="164"/>
      <c r="Q556" s="164"/>
      <c r="R556" s="164"/>
      <c r="S556" s="164"/>
      <c r="T556" s="164"/>
      <c r="U556" s="164"/>
      <c r="V556" s="164"/>
      <c r="W556" s="164"/>
      <c r="X556" s="164"/>
      <c r="Y556" s="164"/>
      <c r="Z556" s="164"/>
    </row>
    <row r="557" ht="13.5" customHeight="1">
      <c r="A557" s="164"/>
      <c r="B557" s="164"/>
      <c r="C557" s="164"/>
      <c r="D557" s="164"/>
      <c r="E557" s="164"/>
      <c r="F557" s="164"/>
      <c r="G557" s="164"/>
      <c r="H557" s="164"/>
      <c r="I557" s="164"/>
      <c r="J557" s="164"/>
      <c r="K557" s="164"/>
      <c r="L557" s="164"/>
      <c r="M557" s="164"/>
      <c r="N557" s="164"/>
      <c r="O557" s="164"/>
      <c r="P557" s="164"/>
      <c r="Q557" s="164"/>
      <c r="R557" s="164"/>
      <c r="S557" s="164"/>
      <c r="T557" s="164"/>
      <c r="U557" s="164"/>
      <c r="V557" s="164"/>
      <c r="W557" s="164"/>
      <c r="X557" s="164"/>
      <c r="Y557" s="164"/>
      <c r="Z557" s="164"/>
    </row>
    <row r="558" ht="13.5" customHeight="1">
      <c r="A558" s="164"/>
      <c r="B558" s="164"/>
      <c r="C558" s="164"/>
      <c r="D558" s="164"/>
      <c r="E558" s="164"/>
      <c r="F558" s="164"/>
      <c r="G558" s="164"/>
      <c r="H558" s="164"/>
      <c r="I558" s="164"/>
      <c r="J558" s="164"/>
      <c r="K558" s="164"/>
      <c r="L558" s="164"/>
      <c r="M558" s="164"/>
      <c r="N558" s="164"/>
      <c r="O558" s="164"/>
      <c r="P558" s="164"/>
      <c r="Q558" s="164"/>
      <c r="R558" s="164"/>
      <c r="S558" s="164"/>
      <c r="T558" s="164"/>
      <c r="U558" s="164"/>
      <c r="V558" s="164"/>
      <c r="W558" s="164"/>
      <c r="X558" s="164"/>
      <c r="Y558" s="164"/>
      <c r="Z558" s="164"/>
    </row>
    <row r="559" ht="13.5" customHeight="1">
      <c r="A559" s="164"/>
      <c r="B559" s="164"/>
      <c r="C559" s="164"/>
      <c r="D559" s="164"/>
      <c r="E559" s="164"/>
      <c r="F559" s="164"/>
      <c r="G559" s="164"/>
      <c r="H559" s="164"/>
      <c r="I559" s="164"/>
      <c r="J559" s="164"/>
      <c r="K559" s="164"/>
      <c r="L559" s="164"/>
      <c r="M559" s="164"/>
      <c r="N559" s="164"/>
      <c r="O559" s="164"/>
      <c r="P559" s="164"/>
      <c r="Q559" s="164"/>
      <c r="R559" s="164"/>
      <c r="S559" s="164"/>
      <c r="T559" s="164"/>
      <c r="U559" s="164"/>
      <c r="V559" s="164"/>
      <c r="W559" s="164"/>
      <c r="X559" s="164"/>
      <c r="Y559" s="164"/>
      <c r="Z559" s="164"/>
    </row>
    <row r="560" ht="13.5" customHeight="1">
      <c r="A560" s="164"/>
      <c r="B560" s="164"/>
      <c r="C560" s="164"/>
      <c r="D560" s="164"/>
      <c r="E560" s="164"/>
      <c r="F560" s="164"/>
      <c r="G560" s="164"/>
      <c r="H560" s="164"/>
      <c r="I560" s="164"/>
      <c r="J560" s="164"/>
      <c r="K560" s="164"/>
      <c r="L560" s="164"/>
      <c r="M560" s="164"/>
      <c r="N560" s="164"/>
      <c r="O560" s="164"/>
      <c r="P560" s="164"/>
      <c r="Q560" s="164"/>
      <c r="R560" s="164"/>
      <c r="S560" s="164"/>
      <c r="T560" s="164"/>
      <c r="U560" s="164"/>
      <c r="V560" s="164"/>
      <c r="W560" s="164"/>
      <c r="X560" s="164"/>
      <c r="Y560" s="164"/>
      <c r="Z560" s="164"/>
    </row>
    <row r="561" ht="13.5" customHeight="1">
      <c r="A561" s="164"/>
      <c r="B561" s="164"/>
      <c r="C561" s="164"/>
      <c r="D561" s="164"/>
      <c r="E561" s="164"/>
      <c r="F561" s="164"/>
      <c r="G561" s="164"/>
      <c r="H561" s="164"/>
      <c r="I561" s="164"/>
      <c r="J561" s="164"/>
      <c r="K561" s="164"/>
      <c r="L561" s="164"/>
      <c r="M561" s="164"/>
      <c r="N561" s="164"/>
      <c r="O561" s="164"/>
      <c r="P561" s="164"/>
      <c r="Q561" s="164"/>
      <c r="R561" s="164"/>
      <c r="S561" s="164"/>
      <c r="T561" s="164"/>
      <c r="U561" s="164"/>
      <c r="V561" s="164"/>
      <c r="W561" s="164"/>
      <c r="X561" s="164"/>
      <c r="Y561" s="164"/>
      <c r="Z561" s="164"/>
    </row>
    <row r="562" ht="13.5" customHeight="1">
      <c r="A562" s="164"/>
      <c r="B562" s="164"/>
      <c r="C562" s="164"/>
      <c r="D562" s="164"/>
      <c r="E562" s="164"/>
      <c r="F562" s="164"/>
      <c r="G562" s="164"/>
      <c r="H562" s="164"/>
      <c r="I562" s="164"/>
      <c r="J562" s="164"/>
      <c r="K562" s="164"/>
      <c r="L562" s="164"/>
      <c r="M562" s="164"/>
      <c r="N562" s="164"/>
      <c r="O562" s="164"/>
      <c r="P562" s="164"/>
      <c r="Q562" s="164"/>
      <c r="R562" s="164"/>
      <c r="S562" s="164"/>
      <c r="T562" s="164"/>
      <c r="U562" s="164"/>
      <c r="V562" s="164"/>
      <c r="W562" s="164"/>
      <c r="X562" s="164"/>
      <c r="Y562" s="164"/>
      <c r="Z562" s="164"/>
    </row>
    <row r="563" ht="13.5" customHeight="1">
      <c r="A563" s="164"/>
      <c r="B563" s="164"/>
      <c r="C563" s="164"/>
      <c r="D563" s="164"/>
      <c r="E563" s="164"/>
      <c r="F563" s="164"/>
      <c r="G563" s="164"/>
      <c r="H563" s="164"/>
      <c r="I563" s="164"/>
      <c r="J563" s="164"/>
      <c r="K563" s="164"/>
      <c r="L563" s="164"/>
      <c r="M563" s="164"/>
      <c r="N563" s="164"/>
      <c r="O563" s="164"/>
      <c r="P563" s="164"/>
      <c r="Q563" s="164"/>
      <c r="R563" s="164"/>
      <c r="S563" s="164"/>
      <c r="T563" s="164"/>
      <c r="U563" s="164"/>
      <c r="V563" s="164"/>
      <c r="W563" s="164"/>
      <c r="X563" s="164"/>
      <c r="Y563" s="164"/>
      <c r="Z563" s="164"/>
    </row>
    <row r="564" ht="13.5" customHeight="1">
      <c r="A564" s="164"/>
      <c r="B564" s="164"/>
      <c r="C564" s="164"/>
      <c r="D564" s="164"/>
      <c r="E564" s="164"/>
      <c r="F564" s="164"/>
      <c r="G564" s="164"/>
      <c r="H564" s="164"/>
      <c r="I564" s="164"/>
      <c r="J564" s="164"/>
      <c r="K564" s="164"/>
      <c r="L564" s="164"/>
      <c r="M564" s="164"/>
      <c r="N564" s="164"/>
      <c r="O564" s="164"/>
      <c r="P564" s="164"/>
      <c r="Q564" s="164"/>
      <c r="R564" s="164"/>
      <c r="S564" s="164"/>
      <c r="T564" s="164"/>
      <c r="U564" s="164"/>
      <c r="V564" s="164"/>
      <c r="W564" s="164"/>
      <c r="X564" s="164"/>
      <c r="Y564" s="164"/>
      <c r="Z564" s="164"/>
    </row>
    <row r="565" ht="13.5" customHeight="1">
      <c r="A565" s="164"/>
      <c r="B565" s="164"/>
      <c r="C565" s="164"/>
      <c r="D565" s="164"/>
      <c r="E565" s="164"/>
      <c r="F565" s="164"/>
      <c r="G565" s="164"/>
      <c r="H565" s="164"/>
      <c r="I565" s="164"/>
      <c r="J565" s="164"/>
      <c r="K565" s="164"/>
      <c r="L565" s="164"/>
      <c r="M565" s="164"/>
      <c r="N565" s="164"/>
      <c r="O565" s="164"/>
      <c r="P565" s="164"/>
      <c r="Q565" s="164"/>
      <c r="R565" s="164"/>
      <c r="S565" s="164"/>
      <c r="T565" s="164"/>
      <c r="U565" s="164"/>
      <c r="V565" s="164"/>
      <c r="W565" s="164"/>
      <c r="X565" s="164"/>
      <c r="Y565" s="164"/>
      <c r="Z565" s="164"/>
    </row>
    <row r="566" ht="13.5" customHeight="1">
      <c r="A566" s="164"/>
      <c r="B566" s="164"/>
      <c r="C566" s="164"/>
      <c r="D566" s="164"/>
      <c r="E566" s="164"/>
      <c r="F566" s="164"/>
      <c r="G566" s="164"/>
      <c r="H566" s="164"/>
      <c r="I566" s="164"/>
      <c r="J566" s="164"/>
      <c r="K566" s="164"/>
      <c r="L566" s="164"/>
      <c r="M566" s="164"/>
      <c r="N566" s="164"/>
      <c r="O566" s="164"/>
      <c r="P566" s="164"/>
      <c r="Q566" s="164"/>
      <c r="R566" s="164"/>
      <c r="S566" s="164"/>
      <c r="T566" s="164"/>
      <c r="U566" s="164"/>
      <c r="V566" s="164"/>
      <c r="W566" s="164"/>
      <c r="X566" s="164"/>
      <c r="Y566" s="164"/>
      <c r="Z566" s="164"/>
    </row>
    <row r="567" ht="13.5" customHeight="1">
      <c r="A567" s="164"/>
      <c r="B567" s="164"/>
      <c r="C567" s="164"/>
      <c r="D567" s="164"/>
      <c r="E567" s="164"/>
      <c r="F567" s="164"/>
      <c r="G567" s="164"/>
      <c r="H567" s="164"/>
      <c r="I567" s="164"/>
      <c r="J567" s="164"/>
      <c r="K567" s="164"/>
      <c r="L567" s="164"/>
      <c r="M567" s="164"/>
      <c r="N567" s="164"/>
      <c r="O567" s="164"/>
      <c r="P567" s="164"/>
      <c r="Q567" s="164"/>
      <c r="R567" s="164"/>
      <c r="S567" s="164"/>
      <c r="T567" s="164"/>
      <c r="U567" s="164"/>
      <c r="V567" s="164"/>
      <c r="W567" s="164"/>
      <c r="X567" s="164"/>
      <c r="Y567" s="164"/>
      <c r="Z567" s="164"/>
    </row>
    <row r="568" ht="13.5" customHeight="1">
      <c r="A568" s="164"/>
      <c r="B568" s="164"/>
      <c r="C568" s="164"/>
      <c r="D568" s="164"/>
      <c r="E568" s="164"/>
      <c r="F568" s="164"/>
      <c r="G568" s="164"/>
      <c r="H568" s="164"/>
      <c r="I568" s="164"/>
      <c r="J568" s="164"/>
      <c r="K568" s="164"/>
      <c r="L568" s="164"/>
      <c r="M568" s="164"/>
      <c r="N568" s="164"/>
      <c r="O568" s="164"/>
      <c r="P568" s="164"/>
      <c r="Q568" s="164"/>
      <c r="R568" s="164"/>
      <c r="S568" s="164"/>
      <c r="T568" s="164"/>
      <c r="U568" s="164"/>
      <c r="V568" s="164"/>
      <c r="W568" s="164"/>
      <c r="X568" s="164"/>
      <c r="Y568" s="164"/>
      <c r="Z568" s="164"/>
    </row>
    <row r="569" ht="13.5" customHeight="1">
      <c r="A569" s="164"/>
      <c r="B569" s="164"/>
      <c r="C569" s="164"/>
      <c r="D569" s="164"/>
      <c r="E569" s="164"/>
      <c r="F569" s="164"/>
      <c r="G569" s="164"/>
      <c r="H569" s="164"/>
      <c r="I569" s="164"/>
      <c r="J569" s="164"/>
      <c r="K569" s="164"/>
      <c r="L569" s="164"/>
      <c r="M569" s="164"/>
      <c r="N569" s="164"/>
      <c r="O569" s="164"/>
      <c r="P569" s="164"/>
      <c r="Q569" s="164"/>
      <c r="R569" s="164"/>
      <c r="S569" s="164"/>
      <c r="T569" s="164"/>
      <c r="U569" s="164"/>
      <c r="V569" s="164"/>
      <c r="W569" s="164"/>
      <c r="X569" s="164"/>
      <c r="Y569" s="164"/>
      <c r="Z569" s="164"/>
    </row>
    <row r="570" ht="13.5" customHeight="1">
      <c r="A570" s="164"/>
      <c r="B570" s="164"/>
      <c r="C570" s="164"/>
      <c r="D570" s="164"/>
      <c r="E570" s="164"/>
      <c r="F570" s="164"/>
      <c r="G570" s="164"/>
      <c r="H570" s="164"/>
      <c r="I570" s="164"/>
      <c r="J570" s="164"/>
      <c r="K570" s="164"/>
      <c r="L570" s="164"/>
      <c r="M570" s="164"/>
      <c r="N570" s="164"/>
      <c r="O570" s="164"/>
      <c r="P570" s="164"/>
      <c r="Q570" s="164"/>
      <c r="R570" s="164"/>
      <c r="S570" s="164"/>
      <c r="T570" s="164"/>
      <c r="U570" s="164"/>
      <c r="V570" s="164"/>
      <c r="W570" s="164"/>
      <c r="X570" s="164"/>
      <c r="Y570" s="164"/>
      <c r="Z570" s="164"/>
    </row>
    <row r="571" ht="13.5" customHeight="1">
      <c r="A571" s="164"/>
      <c r="B571" s="164"/>
      <c r="C571" s="164"/>
      <c r="D571" s="164"/>
      <c r="E571" s="164"/>
      <c r="F571" s="164"/>
      <c r="G571" s="164"/>
      <c r="H571" s="164"/>
      <c r="I571" s="164"/>
      <c r="J571" s="164"/>
      <c r="K571" s="164"/>
      <c r="L571" s="164"/>
      <c r="M571" s="164"/>
      <c r="N571" s="164"/>
      <c r="O571" s="164"/>
      <c r="P571" s="164"/>
      <c r="Q571" s="164"/>
      <c r="R571" s="164"/>
      <c r="S571" s="164"/>
      <c r="T571" s="164"/>
      <c r="U571" s="164"/>
      <c r="V571" s="164"/>
      <c r="W571" s="164"/>
      <c r="X571" s="164"/>
      <c r="Y571" s="164"/>
      <c r="Z571" s="164"/>
    </row>
    <row r="572" ht="13.5" customHeight="1">
      <c r="A572" s="164"/>
      <c r="B572" s="164"/>
      <c r="C572" s="164"/>
      <c r="D572" s="164"/>
      <c r="E572" s="164"/>
      <c r="F572" s="164"/>
      <c r="G572" s="164"/>
      <c r="H572" s="164"/>
      <c r="I572" s="164"/>
      <c r="J572" s="164"/>
      <c r="K572" s="164"/>
      <c r="L572" s="164"/>
      <c r="M572" s="164"/>
      <c r="N572" s="164"/>
      <c r="O572" s="164"/>
      <c r="P572" s="164"/>
      <c r="Q572" s="164"/>
      <c r="R572" s="164"/>
      <c r="S572" s="164"/>
      <c r="T572" s="164"/>
      <c r="U572" s="164"/>
      <c r="V572" s="164"/>
      <c r="W572" s="164"/>
      <c r="X572" s="164"/>
      <c r="Y572" s="164"/>
      <c r="Z572" s="164"/>
    </row>
    <row r="573" ht="13.5" customHeight="1">
      <c r="A573" s="164"/>
      <c r="B573" s="164"/>
      <c r="C573" s="164"/>
      <c r="D573" s="164"/>
      <c r="E573" s="164"/>
      <c r="F573" s="164"/>
      <c r="G573" s="164"/>
      <c r="H573" s="164"/>
      <c r="I573" s="164"/>
      <c r="J573" s="164"/>
      <c r="K573" s="164"/>
      <c r="L573" s="164"/>
      <c r="M573" s="164"/>
      <c r="N573" s="164"/>
      <c r="O573" s="164"/>
      <c r="P573" s="164"/>
      <c r="Q573" s="164"/>
      <c r="R573" s="164"/>
      <c r="S573" s="164"/>
      <c r="T573" s="164"/>
      <c r="U573" s="164"/>
      <c r="V573" s="164"/>
      <c r="W573" s="164"/>
      <c r="X573" s="164"/>
      <c r="Y573" s="164"/>
      <c r="Z573" s="164"/>
    </row>
    <row r="574" ht="13.5" customHeight="1">
      <c r="A574" s="164"/>
      <c r="B574" s="164"/>
      <c r="C574" s="164"/>
      <c r="D574" s="164"/>
      <c r="E574" s="164"/>
      <c r="F574" s="164"/>
      <c r="G574" s="164"/>
      <c r="H574" s="164"/>
      <c r="I574" s="164"/>
      <c r="J574" s="164"/>
      <c r="K574" s="164"/>
      <c r="L574" s="164"/>
      <c r="M574" s="164"/>
      <c r="N574" s="164"/>
      <c r="O574" s="164"/>
      <c r="P574" s="164"/>
      <c r="Q574" s="164"/>
      <c r="R574" s="164"/>
      <c r="S574" s="164"/>
      <c r="T574" s="164"/>
      <c r="U574" s="164"/>
      <c r="V574" s="164"/>
      <c r="W574" s="164"/>
      <c r="X574" s="164"/>
      <c r="Y574" s="164"/>
      <c r="Z574" s="164"/>
    </row>
    <row r="575" ht="13.5" customHeight="1">
      <c r="A575" s="164"/>
      <c r="B575" s="164"/>
      <c r="C575" s="164"/>
      <c r="D575" s="164"/>
      <c r="E575" s="164"/>
      <c r="F575" s="164"/>
      <c r="G575" s="164"/>
      <c r="H575" s="164"/>
      <c r="I575" s="164"/>
      <c r="J575" s="164"/>
      <c r="K575" s="164"/>
      <c r="L575" s="164"/>
      <c r="M575" s="164"/>
      <c r="N575" s="164"/>
      <c r="O575" s="164"/>
      <c r="P575" s="164"/>
      <c r="Q575" s="164"/>
      <c r="R575" s="164"/>
      <c r="S575" s="164"/>
      <c r="T575" s="164"/>
      <c r="U575" s="164"/>
      <c r="V575" s="164"/>
      <c r="W575" s="164"/>
      <c r="X575" s="164"/>
      <c r="Y575" s="164"/>
      <c r="Z575" s="164"/>
    </row>
    <row r="576" ht="13.5" customHeight="1">
      <c r="A576" s="164"/>
      <c r="B576" s="164"/>
      <c r="C576" s="164"/>
      <c r="D576" s="164"/>
      <c r="E576" s="164"/>
      <c r="F576" s="164"/>
      <c r="G576" s="164"/>
      <c r="H576" s="164"/>
      <c r="I576" s="164"/>
      <c r="J576" s="164"/>
      <c r="K576" s="164"/>
      <c r="L576" s="164"/>
      <c r="M576" s="164"/>
      <c r="N576" s="164"/>
      <c r="O576" s="164"/>
      <c r="P576" s="164"/>
      <c r="Q576" s="164"/>
      <c r="R576" s="164"/>
      <c r="S576" s="164"/>
      <c r="T576" s="164"/>
      <c r="U576" s="164"/>
      <c r="V576" s="164"/>
      <c r="W576" s="164"/>
      <c r="X576" s="164"/>
      <c r="Y576" s="164"/>
      <c r="Z576" s="164"/>
    </row>
    <row r="577" ht="13.5" customHeight="1">
      <c r="A577" s="164"/>
      <c r="B577" s="164"/>
      <c r="C577" s="164"/>
      <c r="D577" s="164"/>
      <c r="E577" s="164"/>
      <c r="F577" s="164"/>
      <c r="G577" s="164"/>
      <c r="H577" s="164"/>
      <c r="I577" s="164"/>
      <c r="J577" s="164"/>
      <c r="K577" s="164"/>
      <c r="L577" s="164"/>
      <c r="M577" s="164"/>
      <c r="N577" s="164"/>
      <c r="O577" s="164"/>
      <c r="P577" s="164"/>
      <c r="Q577" s="164"/>
      <c r="R577" s="164"/>
      <c r="S577" s="164"/>
      <c r="T577" s="164"/>
      <c r="U577" s="164"/>
      <c r="V577" s="164"/>
      <c r="W577" s="164"/>
      <c r="X577" s="164"/>
      <c r="Y577" s="164"/>
      <c r="Z577" s="164"/>
    </row>
    <row r="578" ht="13.5" customHeight="1">
      <c r="A578" s="164"/>
      <c r="B578" s="164"/>
      <c r="C578" s="164"/>
      <c r="D578" s="164"/>
      <c r="E578" s="164"/>
      <c r="F578" s="164"/>
      <c r="G578" s="164"/>
      <c r="H578" s="164"/>
      <c r="I578" s="164"/>
      <c r="J578" s="164"/>
      <c r="K578" s="164"/>
      <c r="L578" s="164"/>
      <c r="M578" s="164"/>
      <c r="N578" s="164"/>
      <c r="O578" s="164"/>
      <c r="P578" s="164"/>
      <c r="Q578" s="164"/>
      <c r="R578" s="164"/>
      <c r="S578" s="164"/>
      <c r="T578" s="164"/>
      <c r="U578" s="164"/>
      <c r="V578" s="164"/>
      <c r="W578" s="164"/>
      <c r="X578" s="164"/>
      <c r="Y578" s="164"/>
      <c r="Z578" s="164"/>
    </row>
    <row r="579" ht="13.5" customHeight="1">
      <c r="A579" s="164"/>
      <c r="B579" s="164"/>
      <c r="C579" s="164"/>
      <c r="D579" s="164"/>
      <c r="E579" s="164"/>
      <c r="F579" s="164"/>
      <c r="G579" s="164"/>
      <c r="H579" s="164"/>
      <c r="I579" s="164"/>
      <c r="J579" s="164"/>
      <c r="K579" s="164"/>
      <c r="L579" s="164"/>
      <c r="M579" s="164"/>
      <c r="N579" s="164"/>
      <c r="O579" s="164"/>
      <c r="P579" s="164"/>
      <c r="Q579" s="164"/>
      <c r="R579" s="164"/>
      <c r="S579" s="164"/>
      <c r="T579" s="164"/>
      <c r="U579" s="164"/>
      <c r="V579" s="164"/>
      <c r="W579" s="164"/>
      <c r="X579" s="164"/>
      <c r="Y579" s="164"/>
      <c r="Z579" s="164"/>
    </row>
    <row r="580" ht="13.5" customHeight="1">
      <c r="A580" s="164"/>
      <c r="B580" s="164"/>
      <c r="C580" s="164"/>
      <c r="D580" s="164"/>
      <c r="E580" s="164"/>
      <c r="F580" s="164"/>
      <c r="G580" s="164"/>
      <c r="H580" s="164"/>
      <c r="I580" s="164"/>
      <c r="J580" s="164"/>
      <c r="K580" s="164"/>
      <c r="L580" s="164"/>
      <c r="M580" s="164"/>
      <c r="N580" s="164"/>
      <c r="O580" s="164"/>
      <c r="P580" s="164"/>
      <c r="Q580" s="164"/>
      <c r="R580" s="164"/>
      <c r="S580" s="164"/>
      <c r="T580" s="164"/>
      <c r="U580" s="164"/>
      <c r="V580" s="164"/>
      <c r="W580" s="164"/>
      <c r="X580" s="164"/>
      <c r="Y580" s="164"/>
      <c r="Z580" s="164"/>
    </row>
    <row r="581" ht="13.5" customHeight="1">
      <c r="A581" s="164"/>
      <c r="B581" s="164"/>
      <c r="C581" s="164"/>
      <c r="D581" s="164"/>
      <c r="E581" s="164"/>
      <c r="F581" s="164"/>
      <c r="G581" s="164"/>
      <c r="H581" s="164"/>
      <c r="I581" s="164"/>
      <c r="J581" s="164"/>
      <c r="K581" s="164"/>
      <c r="L581" s="164"/>
      <c r="M581" s="164"/>
      <c r="N581" s="164"/>
      <c r="O581" s="164"/>
      <c r="P581" s="164"/>
      <c r="Q581" s="164"/>
      <c r="R581" s="164"/>
      <c r="S581" s="164"/>
      <c r="T581" s="164"/>
      <c r="U581" s="164"/>
      <c r="V581" s="164"/>
      <c r="W581" s="164"/>
      <c r="X581" s="164"/>
      <c r="Y581" s="164"/>
      <c r="Z581" s="164"/>
    </row>
    <row r="582" ht="13.5" customHeight="1">
      <c r="A582" s="164"/>
      <c r="B582" s="164"/>
      <c r="C582" s="164"/>
      <c r="D582" s="164"/>
      <c r="E582" s="164"/>
      <c r="F582" s="164"/>
      <c r="G582" s="164"/>
      <c r="H582" s="164"/>
      <c r="I582" s="164"/>
      <c r="J582" s="164"/>
      <c r="K582" s="164"/>
      <c r="L582" s="164"/>
      <c r="M582" s="164"/>
      <c r="N582" s="164"/>
      <c r="O582" s="164"/>
      <c r="P582" s="164"/>
      <c r="Q582" s="164"/>
      <c r="R582" s="164"/>
      <c r="S582" s="164"/>
      <c r="T582" s="164"/>
      <c r="U582" s="164"/>
      <c r="V582" s="164"/>
      <c r="W582" s="164"/>
      <c r="X582" s="164"/>
      <c r="Y582" s="164"/>
      <c r="Z582" s="164"/>
    </row>
    <row r="583" ht="13.5" customHeight="1">
      <c r="A583" s="164"/>
      <c r="B583" s="164"/>
      <c r="C583" s="164"/>
      <c r="D583" s="164"/>
      <c r="E583" s="164"/>
      <c r="F583" s="164"/>
      <c r="G583" s="164"/>
      <c r="H583" s="164"/>
      <c r="I583" s="164"/>
      <c r="J583" s="164"/>
      <c r="K583" s="164"/>
      <c r="L583" s="164"/>
      <c r="M583" s="164"/>
      <c r="N583" s="164"/>
      <c r="O583" s="164"/>
      <c r="P583" s="164"/>
      <c r="Q583" s="164"/>
      <c r="R583" s="164"/>
      <c r="S583" s="164"/>
      <c r="T583" s="164"/>
      <c r="U583" s="164"/>
      <c r="V583" s="164"/>
      <c r="W583" s="164"/>
      <c r="X583" s="164"/>
      <c r="Y583" s="164"/>
      <c r="Z583" s="164"/>
    </row>
    <row r="584" ht="13.5" customHeight="1">
      <c r="A584" s="164"/>
      <c r="B584" s="164"/>
      <c r="C584" s="164"/>
      <c r="D584" s="164"/>
      <c r="E584" s="164"/>
      <c r="F584" s="164"/>
      <c r="G584" s="164"/>
      <c r="H584" s="164"/>
      <c r="I584" s="164"/>
      <c r="J584" s="164"/>
      <c r="K584" s="164"/>
      <c r="L584" s="164"/>
      <c r="M584" s="164"/>
      <c r="N584" s="164"/>
      <c r="O584" s="164"/>
      <c r="P584" s="164"/>
      <c r="Q584" s="164"/>
      <c r="R584" s="164"/>
      <c r="S584" s="164"/>
      <c r="T584" s="164"/>
      <c r="U584" s="164"/>
      <c r="V584" s="164"/>
      <c r="W584" s="164"/>
      <c r="X584" s="164"/>
      <c r="Y584" s="164"/>
      <c r="Z584" s="164"/>
    </row>
    <row r="585" ht="13.5" customHeight="1">
      <c r="A585" s="164"/>
      <c r="B585" s="164"/>
      <c r="C585" s="164"/>
      <c r="D585" s="164"/>
      <c r="E585" s="164"/>
      <c r="F585" s="164"/>
      <c r="G585" s="164"/>
      <c r="H585" s="164"/>
      <c r="I585" s="164"/>
      <c r="J585" s="164"/>
      <c r="K585" s="164"/>
      <c r="L585" s="164"/>
      <c r="M585" s="164"/>
      <c r="N585" s="164"/>
      <c r="O585" s="164"/>
      <c r="P585" s="164"/>
      <c r="Q585" s="164"/>
      <c r="R585" s="164"/>
      <c r="S585" s="164"/>
      <c r="T585" s="164"/>
      <c r="U585" s="164"/>
      <c r="V585" s="164"/>
      <c r="W585" s="164"/>
      <c r="X585" s="164"/>
      <c r="Y585" s="164"/>
      <c r="Z585" s="164"/>
    </row>
    <row r="586" ht="13.5" customHeight="1">
      <c r="A586" s="164"/>
      <c r="B586" s="164"/>
      <c r="C586" s="164"/>
      <c r="D586" s="164"/>
      <c r="E586" s="164"/>
      <c r="F586" s="164"/>
      <c r="G586" s="164"/>
      <c r="H586" s="164"/>
      <c r="I586" s="164"/>
      <c r="J586" s="164"/>
      <c r="K586" s="164"/>
      <c r="L586" s="164"/>
      <c r="M586" s="164"/>
      <c r="N586" s="164"/>
      <c r="O586" s="164"/>
      <c r="P586" s="164"/>
      <c r="Q586" s="164"/>
      <c r="R586" s="164"/>
      <c r="S586" s="164"/>
      <c r="T586" s="164"/>
      <c r="U586" s="164"/>
      <c r="V586" s="164"/>
      <c r="W586" s="164"/>
      <c r="X586" s="164"/>
      <c r="Y586" s="164"/>
      <c r="Z586" s="164"/>
    </row>
    <row r="587" ht="13.5" customHeight="1">
      <c r="A587" s="164"/>
      <c r="B587" s="164"/>
      <c r="C587" s="164"/>
      <c r="D587" s="164"/>
      <c r="E587" s="164"/>
      <c r="F587" s="164"/>
      <c r="G587" s="164"/>
      <c r="H587" s="164"/>
      <c r="I587" s="164"/>
      <c r="J587" s="164"/>
      <c r="K587" s="164"/>
      <c r="L587" s="164"/>
      <c r="M587" s="164"/>
      <c r="N587" s="164"/>
      <c r="O587" s="164"/>
      <c r="P587" s="164"/>
      <c r="Q587" s="164"/>
      <c r="R587" s="164"/>
      <c r="S587" s="164"/>
      <c r="T587" s="164"/>
      <c r="U587" s="164"/>
      <c r="V587" s="164"/>
      <c r="W587" s="164"/>
      <c r="X587" s="164"/>
      <c r="Y587" s="164"/>
      <c r="Z587" s="164"/>
    </row>
    <row r="588" ht="13.5" customHeight="1">
      <c r="A588" s="164"/>
      <c r="B588" s="164"/>
      <c r="C588" s="164"/>
      <c r="D588" s="164"/>
      <c r="E588" s="164"/>
      <c r="F588" s="164"/>
      <c r="G588" s="164"/>
      <c r="H588" s="164"/>
      <c r="I588" s="164"/>
      <c r="J588" s="164"/>
      <c r="K588" s="164"/>
      <c r="L588" s="164"/>
      <c r="M588" s="164"/>
      <c r="N588" s="164"/>
      <c r="O588" s="164"/>
      <c r="P588" s="164"/>
      <c r="Q588" s="164"/>
      <c r="R588" s="164"/>
      <c r="S588" s="164"/>
      <c r="T588" s="164"/>
      <c r="U588" s="164"/>
      <c r="V588" s="164"/>
      <c r="W588" s="164"/>
      <c r="X588" s="164"/>
      <c r="Y588" s="164"/>
      <c r="Z588" s="164"/>
    </row>
    <row r="589" ht="13.5" customHeight="1">
      <c r="A589" s="164"/>
      <c r="B589" s="164"/>
      <c r="C589" s="164"/>
      <c r="D589" s="164"/>
      <c r="E589" s="164"/>
      <c r="F589" s="164"/>
      <c r="G589" s="164"/>
      <c r="H589" s="164"/>
      <c r="I589" s="164"/>
      <c r="J589" s="164"/>
      <c r="K589" s="164"/>
      <c r="L589" s="164"/>
      <c r="M589" s="164"/>
      <c r="N589" s="164"/>
      <c r="O589" s="164"/>
      <c r="P589" s="164"/>
      <c r="Q589" s="164"/>
      <c r="R589" s="164"/>
      <c r="S589" s="164"/>
      <c r="T589" s="164"/>
      <c r="U589" s="164"/>
      <c r="V589" s="164"/>
      <c r="W589" s="164"/>
      <c r="X589" s="164"/>
      <c r="Y589" s="164"/>
      <c r="Z589" s="164"/>
    </row>
    <row r="590" ht="13.5" customHeight="1">
      <c r="A590" s="164"/>
      <c r="B590" s="164"/>
      <c r="C590" s="164"/>
      <c r="D590" s="164"/>
      <c r="E590" s="164"/>
      <c r="F590" s="164"/>
      <c r="G590" s="164"/>
      <c r="H590" s="164"/>
      <c r="I590" s="164"/>
      <c r="J590" s="164"/>
      <c r="K590" s="164"/>
      <c r="L590" s="164"/>
      <c r="M590" s="164"/>
      <c r="N590" s="164"/>
      <c r="O590" s="164"/>
      <c r="P590" s="164"/>
      <c r="Q590" s="164"/>
      <c r="R590" s="164"/>
      <c r="S590" s="164"/>
      <c r="T590" s="164"/>
      <c r="U590" s="164"/>
      <c r="V590" s="164"/>
      <c r="W590" s="164"/>
      <c r="X590" s="164"/>
      <c r="Y590" s="164"/>
      <c r="Z590" s="164"/>
    </row>
    <row r="591" ht="13.5" customHeight="1">
      <c r="A591" s="164"/>
      <c r="B591" s="164"/>
      <c r="C591" s="164"/>
      <c r="D591" s="164"/>
      <c r="E591" s="164"/>
      <c r="F591" s="164"/>
      <c r="G591" s="164"/>
      <c r="H591" s="164"/>
      <c r="I591" s="164"/>
      <c r="J591" s="164"/>
      <c r="K591" s="164"/>
      <c r="L591" s="164"/>
      <c r="M591" s="164"/>
      <c r="N591" s="164"/>
      <c r="O591" s="164"/>
      <c r="P591" s="164"/>
      <c r="Q591" s="164"/>
      <c r="R591" s="164"/>
      <c r="S591" s="164"/>
      <c r="T591" s="164"/>
      <c r="U591" s="164"/>
      <c r="V591" s="164"/>
      <c r="W591" s="164"/>
      <c r="X591" s="164"/>
      <c r="Y591" s="164"/>
      <c r="Z591" s="164"/>
    </row>
    <row r="592" ht="13.5" customHeight="1">
      <c r="A592" s="164"/>
      <c r="B592" s="164"/>
      <c r="C592" s="164"/>
      <c r="D592" s="164"/>
      <c r="E592" s="164"/>
      <c r="F592" s="164"/>
      <c r="G592" s="164"/>
      <c r="H592" s="164"/>
      <c r="I592" s="164"/>
      <c r="J592" s="164"/>
      <c r="K592" s="164"/>
      <c r="L592" s="164"/>
      <c r="M592" s="164"/>
      <c r="N592" s="164"/>
      <c r="O592" s="164"/>
      <c r="P592" s="164"/>
      <c r="Q592" s="164"/>
      <c r="R592" s="164"/>
      <c r="S592" s="164"/>
      <c r="T592" s="164"/>
      <c r="U592" s="164"/>
      <c r="V592" s="164"/>
      <c r="W592" s="164"/>
      <c r="X592" s="164"/>
      <c r="Y592" s="164"/>
      <c r="Z592" s="164"/>
    </row>
    <row r="593" ht="13.5" customHeight="1">
      <c r="A593" s="164"/>
      <c r="B593" s="164"/>
      <c r="C593" s="164"/>
      <c r="D593" s="164"/>
      <c r="E593" s="164"/>
      <c r="F593" s="164"/>
      <c r="G593" s="164"/>
      <c r="H593" s="164"/>
      <c r="I593" s="164"/>
      <c r="J593" s="164"/>
      <c r="K593" s="164"/>
      <c r="L593" s="164"/>
      <c r="M593" s="164"/>
      <c r="N593" s="164"/>
      <c r="O593" s="164"/>
      <c r="P593" s="164"/>
      <c r="Q593" s="164"/>
      <c r="R593" s="164"/>
      <c r="S593" s="164"/>
      <c r="T593" s="164"/>
      <c r="U593" s="164"/>
      <c r="V593" s="164"/>
      <c r="W593" s="164"/>
      <c r="X593" s="164"/>
      <c r="Y593" s="164"/>
      <c r="Z593" s="164"/>
    </row>
    <row r="594" ht="13.5" customHeight="1">
      <c r="A594" s="164"/>
      <c r="B594" s="164"/>
      <c r="C594" s="164"/>
      <c r="D594" s="164"/>
      <c r="E594" s="164"/>
      <c r="F594" s="164"/>
      <c r="G594" s="164"/>
      <c r="H594" s="164"/>
      <c r="I594" s="164"/>
      <c r="J594" s="164"/>
      <c r="K594" s="164"/>
      <c r="L594" s="164"/>
      <c r="M594" s="164"/>
      <c r="N594" s="164"/>
      <c r="O594" s="164"/>
      <c r="P594" s="164"/>
      <c r="Q594" s="164"/>
      <c r="R594" s="164"/>
      <c r="S594" s="164"/>
      <c r="T594" s="164"/>
      <c r="U594" s="164"/>
      <c r="V594" s="164"/>
      <c r="W594" s="164"/>
      <c r="X594" s="164"/>
      <c r="Y594" s="164"/>
      <c r="Z594" s="164"/>
    </row>
    <row r="595" ht="13.5" customHeight="1">
      <c r="A595" s="164"/>
      <c r="B595" s="164"/>
      <c r="C595" s="164"/>
      <c r="D595" s="164"/>
      <c r="E595" s="164"/>
      <c r="F595" s="164"/>
      <c r="G595" s="164"/>
      <c r="H595" s="164"/>
      <c r="I595" s="164"/>
      <c r="J595" s="164"/>
      <c r="K595" s="164"/>
      <c r="L595" s="164"/>
      <c r="M595" s="164"/>
      <c r="N595" s="164"/>
      <c r="O595" s="164"/>
      <c r="P595" s="164"/>
      <c r="Q595" s="164"/>
      <c r="R595" s="164"/>
      <c r="S595" s="164"/>
      <c r="T595" s="164"/>
      <c r="U595" s="164"/>
      <c r="V595" s="164"/>
      <c r="W595" s="164"/>
      <c r="X595" s="164"/>
      <c r="Y595" s="164"/>
      <c r="Z595" s="164"/>
    </row>
    <row r="596" ht="13.5" customHeight="1">
      <c r="A596" s="164"/>
      <c r="B596" s="164"/>
      <c r="C596" s="164"/>
      <c r="D596" s="164"/>
      <c r="E596" s="164"/>
      <c r="F596" s="164"/>
      <c r="G596" s="164"/>
      <c r="H596" s="164"/>
      <c r="I596" s="164"/>
      <c r="J596" s="164"/>
      <c r="K596" s="164"/>
      <c r="L596" s="164"/>
      <c r="M596" s="164"/>
      <c r="N596" s="164"/>
      <c r="O596" s="164"/>
      <c r="P596" s="164"/>
      <c r="Q596" s="164"/>
      <c r="R596" s="164"/>
      <c r="S596" s="164"/>
      <c r="T596" s="164"/>
      <c r="U596" s="164"/>
      <c r="V596" s="164"/>
      <c r="W596" s="164"/>
      <c r="X596" s="164"/>
      <c r="Y596" s="164"/>
      <c r="Z596" s="164"/>
    </row>
    <row r="597" ht="13.5" customHeight="1">
      <c r="A597" s="164"/>
      <c r="B597" s="164"/>
      <c r="C597" s="164"/>
      <c r="D597" s="164"/>
      <c r="E597" s="164"/>
      <c r="F597" s="164"/>
      <c r="G597" s="164"/>
      <c r="H597" s="164"/>
      <c r="I597" s="164"/>
      <c r="J597" s="164"/>
      <c r="K597" s="164"/>
      <c r="L597" s="164"/>
      <c r="M597" s="164"/>
      <c r="N597" s="164"/>
      <c r="O597" s="164"/>
      <c r="P597" s="164"/>
      <c r="Q597" s="164"/>
      <c r="R597" s="164"/>
      <c r="S597" s="164"/>
      <c r="T597" s="164"/>
      <c r="U597" s="164"/>
      <c r="V597" s="164"/>
      <c r="W597" s="164"/>
      <c r="X597" s="164"/>
      <c r="Y597" s="164"/>
      <c r="Z597" s="164"/>
    </row>
    <row r="598" ht="13.5" customHeight="1">
      <c r="A598" s="164"/>
      <c r="B598" s="164"/>
      <c r="C598" s="164"/>
      <c r="D598" s="164"/>
      <c r="E598" s="164"/>
      <c r="F598" s="164"/>
      <c r="G598" s="164"/>
      <c r="H598" s="164"/>
      <c r="I598" s="164"/>
      <c r="J598" s="164"/>
      <c r="K598" s="164"/>
      <c r="L598" s="164"/>
      <c r="M598" s="164"/>
      <c r="N598" s="164"/>
      <c r="O598" s="164"/>
      <c r="P598" s="164"/>
      <c r="Q598" s="164"/>
      <c r="R598" s="164"/>
      <c r="S598" s="164"/>
      <c r="T598" s="164"/>
      <c r="U598" s="164"/>
      <c r="V598" s="164"/>
      <c r="W598" s="164"/>
      <c r="X598" s="164"/>
      <c r="Y598" s="164"/>
      <c r="Z598" s="164"/>
    </row>
    <row r="599" ht="13.5" customHeight="1">
      <c r="A599" s="164"/>
      <c r="B599" s="164"/>
      <c r="C599" s="164"/>
      <c r="D599" s="164"/>
      <c r="E599" s="164"/>
      <c r="F599" s="164"/>
      <c r="G599" s="164"/>
      <c r="H599" s="164"/>
      <c r="I599" s="164"/>
      <c r="J599" s="164"/>
      <c r="K599" s="164"/>
      <c r="L599" s="164"/>
      <c r="M599" s="164"/>
      <c r="N599" s="164"/>
      <c r="O599" s="164"/>
      <c r="P599" s="164"/>
      <c r="Q599" s="164"/>
      <c r="R599" s="164"/>
      <c r="S599" s="164"/>
      <c r="T599" s="164"/>
      <c r="U599" s="164"/>
      <c r="V599" s="164"/>
      <c r="W599" s="164"/>
      <c r="X599" s="164"/>
      <c r="Y599" s="164"/>
      <c r="Z599" s="164"/>
    </row>
    <row r="600" ht="13.5" customHeight="1">
      <c r="A600" s="164"/>
      <c r="B600" s="164"/>
      <c r="C600" s="164"/>
      <c r="D600" s="164"/>
      <c r="E600" s="164"/>
      <c r="F600" s="164"/>
      <c r="G600" s="164"/>
      <c r="H600" s="164"/>
      <c r="I600" s="164"/>
      <c r="J600" s="164"/>
      <c r="K600" s="164"/>
      <c r="L600" s="164"/>
      <c r="M600" s="164"/>
      <c r="N600" s="164"/>
      <c r="O600" s="164"/>
      <c r="P600" s="164"/>
      <c r="Q600" s="164"/>
      <c r="R600" s="164"/>
      <c r="S600" s="164"/>
      <c r="T600" s="164"/>
      <c r="U600" s="164"/>
      <c r="V600" s="164"/>
      <c r="W600" s="164"/>
      <c r="X600" s="164"/>
      <c r="Y600" s="164"/>
      <c r="Z600" s="164"/>
    </row>
    <row r="601" ht="13.5" customHeight="1">
      <c r="A601" s="164"/>
      <c r="B601" s="164"/>
      <c r="C601" s="164"/>
      <c r="D601" s="164"/>
      <c r="E601" s="164"/>
      <c r="F601" s="164"/>
      <c r="G601" s="164"/>
      <c r="H601" s="164"/>
      <c r="I601" s="164"/>
      <c r="J601" s="164"/>
      <c r="K601" s="164"/>
      <c r="L601" s="164"/>
      <c r="M601" s="164"/>
      <c r="N601" s="164"/>
      <c r="O601" s="164"/>
      <c r="P601" s="164"/>
      <c r="Q601" s="164"/>
      <c r="R601" s="164"/>
      <c r="S601" s="164"/>
      <c r="T601" s="164"/>
      <c r="U601" s="164"/>
      <c r="V601" s="164"/>
      <c r="W601" s="164"/>
      <c r="X601" s="164"/>
      <c r="Y601" s="164"/>
      <c r="Z601" s="164"/>
    </row>
    <row r="602" ht="13.5" customHeight="1">
      <c r="A602" s="164"/>
      <c r="B602" s="164"/>
      <c r="C602" s="164"/>
      <c r="D602" s="164"/>
      <c r="E602" s="164"/>
      <c r="F602" s="164"/>
      <c r="G602" s="164"/>
      <c r="H602" s="164"/>
      <c r="I602" s="164"/>
      <c r="J602" s="164"/>
      <c r="K602" s="164"/>
      <c r="L602" s="164"/>
      <c r="M602" s="164"/>
      <c r="N602" s="164"/>
      <c r="O602" s="164"/>
      <c r="P602" s="164"/>
      <c r="Q602" s="164"/>
      <c r="R602" s="164"/>
      <c r="S602" s="164"/>
      <c r="T602" s="164"/>
      <c r="U602" s="164"/>
      <c r="V602" s="164"/>
      <c r="W602" s="164"/>
      <c r="X602" s="164"/>
      <c r="Y602" s="164"/>
      <c r="Z602" s="164"/>
    </row>
    <row r="603" ht="13.5" customHeight="1">
      <c r="A603" s="164"/>
      <c r="B603" s="164"/>
      <c r="C603" s="164"/>
      <c r="D603" s="164"/>
      <c r="E603" s="164"/>
      <c r="F603" s="164"/>
      <c r="G603" s="164"/>
      <c r="H603" s="164"/>
      <c r="I603" s="164"/>
      <c r="J603" s="164"/>
      <c r="K603" s="164"/>
      <c r="L603" s="164"/>
      <c r="M603" s="164"/>
      <c r="N603" s="164"/>
      <c r="O603" s="164"/>
      <c r="P603" s="164"/>
      <c r="Q603" s="164"/>
      <c r="R603" s="164"/>
      <c r="S603" s="164"/>
      <c r="T603" s="164"/>
      <c r="U603" s="164"/>
      <c r="V603" s="164"/>
      <c r="W603" s="164"/>
      <c r="X603" s="164"/>
      <c r="Y603" s="164"/>
      <c r="Z603" s="164"/>
    </row>
    <row r="604" ht="13.5" customHeight="1">
      <c r="A604" s="164"/>
      <c r="B604" s="164"/>
      <c r="C604" s="164"/>
      <c r="D604" s="164"/>
      <c r="E604" s="164"/>
      <c r="F604" s="164"/>
      <c r="G604" s="164"/>
      <c r="H604" s="164"/>
      <c r="I604" s="164"/>
      <c r="J604" s="164"/>
      <c r="K604" s="164"/>
      <c r="L604" s="164"/>
      <c r="M604" s="164"/>
      <c r="N604" s="164"/>
      <c r="O604" s="164"/>
      <c r="P604" s="164"/>
      <c r="Q604" s="164"/>
      <c r="R604" s="164"/>
      <c r="S604" s="164"/>
      <c r="T604" s="164"/>
      <c r="U604" s="164"/>
      <c r="V604" s="164"/>
      <c r="W604" s="164"/>
      <c r="X604" s="164"/>
      <c r="Y604" s="164"/>
      <c r="Z604" s="164"/>
    </row>
    <row r="605" ht="13.5" customHeight="1">
      <c r="A605" s="164"/>
      <c r="B605" s="164"/>
      <c r="C605" s="164"/>
      <c r="D605" s="164"/>
      <c r="E605" s="164"/>
      <c r="F605" s="164"/>
      <c r="G605" s="164"/>
      <c r="H605" s="164"/>
      <c r="I605" s="164"/>
      <c r="J605" s="164"/>
      <c r="K605" s="164"/>
      <c r="L605" s="164"/>
      <c r="M605" s="164"/>
      <c r="N605" s="164"/>
      <c r="O605" s="164"/>
      <c r="P605" s="164"/>
      <c r="Q605" s="164"/>
      <c r="R605" s="164"/>
      <c r="S605" s="164"/>
      <c r="T605" s="164"/>
      <c r="U605" s="164"/>
      <c r="V605" s="164"/>
      <c r="W605" s="164"/>
      <c r="X605" s="164"/>
      <c r="Y605" s="164"/>
      <c r="Z605" s="164"/>
    </row>
    <row r="606" ht="13.5" customHeight="1">
      <c r="A606" s="164"/>
      <c r="B606" s="164"/>
      <c r="C606" s="164"/>
      <c r="D606" s="164"/>
      <c r="E606" s="164"/>
      <c r="F606" s="164"/>
      <c r="G606" s="164"/>
      <c r="H606" s="164"/>
      <c r="I606" s="164"/>
      <c r="J606" s="164"/>
      <c r="K606" s="164"/>
      <c r="L606" s="164"/>
      <c r="M606" s="164"/>
      <c r="N606" s="164"/>
      <c r="O606" s="164"/>
      <c r="P606" s="164"/>
      <c r="Q606" s="164"/>
      <c r="R606" s="164"/>
      <c r="S606" s="164"/>
      <c r="T606" s="164"/>
      <c r="U606" s="164"/>
      <c r="V606" s="164"/>
      <c r="W606" s="164"/>
      <c r="X606" s="164"/>
      <c r="Y606" s="164"/>
      <c r="Z606" s="164"/>
    </row>
    <row r="607" ht="13.5" customHeight="1">
      <c r="A607" s="164"/>
      <c r="B607" s="164"/>
      <c r="C607" s="164"/>
      <c r="D607" s="164"/>
      <c r="E607" s="164"/>
      <c r="F607" s="164"/>
      <c r="G607" s="164"/>
      <c r="H607" s="164"/>
      <c r="I607" s="164"/>
      <c r="J607" s="164"/>
      <c r="K607" s="164"/>
      <c r="L607" s="164"/>
      <c r="M607" s="164"/>
      <c r="N607" s="164"/>
      <c r="O607" s="164"/>
      <c r="P607" s="164"/>
      <c r="Q607" s="164"/>
      <c r="R607" s="164"/>
      <c r="S607" s="164"/>
      <c r="T607" s="164"/>
      <c r="U607" s="164"/>
      <c r="V607" s="164"/>
      <c r="W607" s="164"/>
      <c r="X607" s="164"/>
      <c r="Y607" s="164"/>
      <c r="Z607" s="164"/>
    </row>
    <row r="608" ht="13.5" customHeight="1">
      <c r="A608" s="164"/>
      <c r="B608" s="164"/>
      <c r="C608" s="164"/>
      <c r="D608" s="164"/>
      <c r="E608" s="164"/>
      <c r="F608" s="164"/>
      <c r="G608" s="164"/>
      <c r="H608" s="164"/>
      <c r="I608" s="164"/>
      <c r="J608" s="164"/>
      <c r="K608" s="164"/>
      <c r="L608" s="164"/>
      <c r="M608" s="164"/>
      <c r="N608" s="164"/>
      <c r="O608" s="164"/>
      <c r="P608" s="164"/>
      <c r="Q608" s="164"/>
      <c r="R608" s="164"/>
      <c r="S608" s="164"/>
      <c r="T608" s="164"/>
      <c r="U608" s="164"/>
      <c r="V608" s="164"/>
      <c r="W608" s="164"/>
      <c r="X608" s="164"/>
      <c r="Y608" s="164"/>
      <c r="Z608" s="164"/>
    </row>
    <row r="609" ht="13.5" customHeight="1">
      <c r="A609" s="164"/>
      <c r="B609" s="164"/>
      <c r="C609" s="164"/>
      <c r="D609" s="164"/>
      <c r="E609" s="164"/>
      <c r="F609" s="164"/>
      <c r="G609" s="164"/>
      <c r="H609" s="164"/>
      <c r="I609" s="164"/>
      <c r="J609" s="164"/>
      <c r="K609" s="164"/>
      <c r="L609" s="164"/>
      <c r="M609" s="164"/>
      <c r="N609" s="164"/>
      <c r="O609" s="164"/>
      <c r="P609" s="164"/>
      <c r="Q609" s="164"/>
      <c r="R609" s="164"/>
      <c r="S609" s="164"/>
      <c r="T609" s="164"/>
      <c r="U609" s="164"/>
      <c r="V609" s="164"/>
      <c r="W609" s="164"/>
      <c r="X609" s="164"/>
      <c r="Y609" s="164"/>
      <c r="Z609" s="164"/>
    </row>
    <row r="610" ht="13.5" customHeight="1">
      <c r="A610" s="164"/>
      <c r="B610" s="164"/>
      <c r="C610" s="164"/>
      <c r="D610" s="164"/>
      <c r="E610" s="164"/>
      <c r="F610" s="164"/>
      <c r="G610" s="164"/>
      <c r="H610" s="164"/>
      <c r="I610" s="164"/>
      <c r="J610" s="164"/>
      <c r="K610" s="164"/>
      <c r="L610" s="164"/>
      <c r="M610" s="164"/>
      <c r="N610" s="164"/>
      <c r="O610" s="164"/>
      <c r="P610" s="164"/>
      <c r="Q610" s="164"/>
      <c r="R610" s="164"/>
      <c r="S610" s="164"/>
      <c r="T610" s="164"/>
      <c r="U610" s="164"/>
      <c r="V610" s="164"/>
      <c r="W610" s="164"/>
      <c r="X610" s="164"/>
      <c r="Y610" s="164"/>
      <c r="Z610" s="164"/>
    </row>
    <row r="611" ht="13.5" customHeight="1">
      <c r="A611" s="164"/>
      <c r="B611" s="164"/>
      <c r="C611" s="164"/>
      <c r="D611" s="164"/>
      <c r="E611" s="164"/>
      <c r="F611" s="164"/>
      <c r="G611" s="164"/>
      <c r="H611" s="164"/>
      <c r="I611" s="164"/>
      <c r="J611" s="164"/>
      <c r="K611" s="164"/>
      <c r="L611" s="164"/>
      <c r="M611" s="164"/>
      <c r="N611" s="164"/>
      <c r="O611" s="164"/>
      <c r="P611" s="164"/>
      <c r="Q611" s="164"/>
      <c r="R611" s="164"/>
      <c r="S611" s="164"/>
      <c r="T611" s="164"/>
      <c r="U611" s="164"/>
      <c r="V611" s="164"/>
      <c r="W611" s="164"/>
      <c r="X611" s="164"/>
      <c r="Y611" s="164"/>
      <c r="Z611" s="164"/>
    </row>
    <row r="612" ht="13.5" customHeight="1">
      <c r="A612" s="164"/>
      <c r="B612" s="164"/>
      <c r="C612" s="164"/>
      <c r="D612" s="164"/>
      <c r="E612" s="164"/>
      <c r="F612" s="164"/>
      <c r="G612" s="164"/>
      <c r="H612" s="164"/>
      <c r="I612" s="164"/>
      <c r="J612" s="164"/>
      <c r="K612" s="164"/>
      <c r="L612" s="164"/>
      <c r="M612" s="164"/>
      <c r="N612" s="164"/>
      <c r="O612" s="164"/>
      <c r="P612" s="164"/>
      <c r="Q612" s="164"/>
      <c r="R612" s="164"/>
      <c r="S612" s="164"/>
      <c r="T612" s="164"/>
      <c r="U612" s="164"/>
      <c r="V612" s="164"/>
      <c r="W612" s="164"/>
      <c r="X612" s="164"/>
      <c r="Y612" s="164"/>
      <c r="Z612" s="164"/>
    </row>
    <row r="613" ht="13.5" customHeight="1">
      <c r="A613" s="164"/>
      <c r="B613" s="164"/>
      <c r="C613" s="164"/>
      <c r="D613" s="164"/>
      <c r="E613" s="164"/>
      <c r="F613" s="164"/>
      <c r="G613" s="164"/>
      <c r="H613" s="164"/>
      <c r="I613" s="164"/>
      <c r="J613" s="164"/>
      <c r="K613" s="164"/>
      <c r="L613" s="164"/>
      <c r="M613" s="164"/>
      <c r="N613" s="164"/>
      <c r="O613" s="164"/>
      <c r="P613" s="164"/>
      <c r="Q613" s="164"/>
      <c r="R613" s="164"/>
      <c r="S613" s="164"/>
      <c r="T613" s="164"/>
      <c r="U613" s="164"/>
      <c r="V613" s="164"/>
      <c r="W613" s="164"/>
      <c r="X613" s="164"/>
      <c r="Y613" s="164"/>
      <c r="Z613" s="164"/>
    </row>
    <row r="614" ht="13.5" customHeight="1">
      <c r="A614" s="164"/>
      <c r="B614" s="164"/>
      <c r="C614" s="164"/>
      <c r="D614" s="164"/>
      <c r="E614" s="164"/>
      <c r="F614" s="164"/>
      <c r="G614" s="164"/>
      <c r="H614" s="164"/>
      <c r="I614" s="164"/>
      <c r="J614" s="164"/>
      <c r="K614" s="164"/>
      <c r="L614" s="164"/>
      <c r="M614" s="164"/>
      <c r="N614" s="164"/>
      <c r="O614" s="164"/>
      <c r="P614" s="164"/>
      <c r="Q614" s="164"/>
      <c r="R614" s="164"/>
      <c r="S614" s="164"/>
      <c r="T614" s="164"/>
      <c r="U614" s="164"/>
      <c r="V614" s="164"/>
      <c r="W614" s="164"/>
      <c r="X614" s="164"/>
      <c r="Y614" s="164"/>
      <c r="Z614" s="164"/>
    </row>
    <row r="615" ht="13.5" customHeight="1">
      <c r="A615" s="164"/>
      <c r="B615" s="164"/>
      <c r="C615" s="164"/>
      <c r="D615" s="164"/>
      <c r="E615" s="164"/>
      <c r="F615" s="164"/>
      <c r="G615" s="164"/>
      <c r="H615" s="164"/>
      <c r="I615" s="164"/>
      <c r="J615" s="164"/>
      <c r="K615" s="164"/>
      <c r="L615" s="164"/>
      <c r="M615" s="164"/>
      <c r="N615" s="164"/>
      <c r="O615" s="164"/>
      <c r="P615" s="164"/>
      <c r="Q615" s="164"/>
      <c r="R615" s="164"/>
      <c r="S615" s="164"/>
      <c r="T615" s="164"/>
      <c r="U615" s="164"/>
      <c r="V615" s="164"/>
      <c r="W615" s="164"/>
      <c r="X615" s="164"/>
      <c r="Y615" s="164"/>
      <c r="Z615" s="164"/>
    </row>
    <row r="616" ht="13.5" customHeight="1">
      <c r="A616" s="164"/>
      <c r="B616" s="164"/>
      <c r="C616" s="164"/>
      <c r="D616" s="164"/>
      <c r="E616" s="164"/>
      <c r="F616" s="164"/>
      <c r="G616" s="164"/>
      <c r="H616" s="164"/>
      <c r="I616" s="164"/>
      <c r="J616" s="164"/>
      <c r="K616" s="164"/>
      <c r="L616" s="164"/>
      <c r="M616" s="164"/>
      <c r="N616" s="164"/>
      <c r="O616" s="164"/>
      <c r="P616" s="164"/>
      <c r="Q616" s="164"/>
      <c r="R616" s="164"/>
      <c r="S616" s="164"/>
      <c r="T616" s="164"/>
      <c r="U616" s="164"/>
      <c r="V616" s="164"/>
      <c r="W616" s="164"/>
      <c r="X616" s="164"/>
      <c r="Y616" s="164"/>
      <c r="Z616" s="164"/>
    </row>
    <row r="617" ht="13.5" customHeight="1">
      <c r="A617" s="164"/>
      <c r="B617" s="164"/>
      <c r="C617" s="164"/>
      <c r="D617" s="164"/>
      <c r="E617" s="164"/>
      <c r="F617" s="164"/>
      <c r="G617" s="164"/>
      <c r="H617" s="164"/>
      <c r="I617" s="164"/>
      <c r="J617" s="164"/>
      <c r="K617" s="164"/>
      <c r="L617" s="164"/>
      <c r="M617" s="164"/>
      <c r="N617" s="164"/>
      <c r="O617" s="164"/>
      <c r="P617" s="164"/>
      <c r="Q617" s="164"/>
      <c r="R617" s="164"/>
      <c r="S617" s="164"/>
      <c r="T617" s="164"/>
      <c r="U617" s="164"/>
      <c r="V617" s="164"/>
      <c r="W617" s="164"/>
      <c r="X617" s="164"/>
      <c r="Y617" s="164"/>
      <c r="Z617" s="164"/>
    </row>
    <row r="618" ht="13.5" customHeight="1">
      <c r="A618" s="164"/>
      <c r="B618" s="164"/>
      <c r="C618" s="164"/>
      <c r="D618" s="164"/>
      <c r="E618" s="164"/>
      <c r="F618" s="164"/>
      <c r="G618" s="164"/>
      <c r="H618" s="164"/>
      <c r="I618" s="164"/>
      <c r="J618" s="164"/>
      <c r="K618" s="164"/>
      <c r="L618" s="164"/>
      <c r="M618" s="164"/>
      <c r="N618" s="164"/>
      <c r="O618" s="164"/>
      <c r="P618" s="164"/>
      <c r="Q618" s="164"/>
      <c r="R618" s="164"/>
      <c r="S618" s="164"/>
      <c r="T618" s="164"/>
      <c r="U618" s="164"/>
      <c r="V618" s="164"/>
      <c r="W618" s="164"/>
      <c r="X618" s="164"/>
      <c r="Y618" s="164"/>
      <c r="Z618" s="164"/>
    </row>
    <row r="619" ht="13.5" customHeight="1">
      <c r="A619" s="164"/>
      <c r="B619" s="164"/>
      <c r="C619" s="164"/>
      <c r="D619" s="164"/>
      <c r="E619" s="164"/>
      <c r="F619" s="164"/>
      <c r="G619" s="164"/>
      <c r="H619" s="164"/>
      <c r="I619" s="164"/>
      <c r="J619" s="164"/>
      <c r="K619" s="164"/>
      <c r="L619" s="164"/>
      <c r="M619" s="164"/>
      <c r="N619" s="164"/>
      <c r="O619" s="164"/>
      <c r="P619" s="164"/>
      <c r="Q619" s="164"/>
      <c r="R619" s="164"/>
      <c r="S619" s="164"/>
      <c r="T619" s="164"/>
      <c r="U619" s="164"/>
      <c r="V619" s="164"/>
      <c r="W619" s="164"/>
      <c r="X619" s="164"/>
      <c r="Y619" s="164"/>
      <c r="Z619" s="164"/>
    </row>
    <row r="620" ht="13.5" customHeight="1">
      <c r="A620" s="164"/>
      <c r="B620" s="164"/>
      <c r="C620" s="164"/>
      <c r="D620" s="164"/>
      <c r="E620" s="164"/>
      <c r="F620" s="164"/>
      <c r="G620" s="164"/>
      <c r="H620" s="164"/>
      <c r="I620" s="164"/>
      <c r="J620" s="164"/>
      <c r="K620" s="164"/>
      <c r="L620" s="164"/>
      <c r="M620" s="164"/>
      <c r="N620" s="164"/>
      <c r="O620" s="164"/>
      <c r="P620" s="164"/>
      <c r="Q620" s="164"/>
      <c r="R620" s="164"/>
      <c r="S620" s="164"/>
      <c r="T620" s="164"/>
      <c r="U620" s="164"/>
      <c r="V620" s="164"/>
      <c r="W620" s="164"/>
      <c r="X620" s="164"/>
      <c r="Y620" s="164"/>
      <c r="Z620" s="164"/>
    </row>
    <row r="621" ht="13.5" customHeight="1">
      <c r="A621" s="164"/>
      <c r="B621" s="164"/>
      <c r="C621" s="164"/>
      <c r="D621" s="164"/>
      <c r="E621" s="164"/>
      <c r="F621" s="164"/>
      <c r="G621" s="164"/>
      <c r="H621" s="164"/>
      <c r="I621" s="164"/>
      <c r="J621" s="164"/>
      <c r="K621" s="164"/>
      <c r="L621" s="164"/>
      <c r="M621" s="164"/>
      <c r="N621" s="164"/>
      <c r="O621" s="164"/>
      <c r="P621" s="164"/>
      <c r="Q621" s="164"/>
      <c r="R621" s="164"/>
      <c r="S621" s="164"/>
      <c r="T621" s="164"/>
      <c r="U621" s="164"/>
      <c r="V621" s="164"/>
      <c r="W621" s="164"/>
      <c r="X621" s="164"/>
      <c r="Y621" s="164"/>
      <c r="Z621" s="164"/>
    </row>
    <row r="622" ht="13.5" customHeight="1">
      <c r="A622" s="164"/>
      <c r="B622" s="164"/>
      <c r="C622" s="164"/>
      <c r="D622" s="164"/>
      <c r="E622" s="164"/>
      <c r="F622" s="164"/>
      <c r="G622" s="164"/>
      <c r="H622" s="164"/>
      <c r="I622" s="164"/>
      <c r="J622" s="164"/>
      <c r="K622" s="164"/>
      <c r="L622" s="164"/>
      <c r="M622" s="164"/>
      <c r="N622" s="164"/>
      <c r="O622" s="164"/>
      <c r="P622" s="164"/>
      <c r="Q622" s="164"/>
      <c r="R622" s="164"/>
      <c r="S622" s="164"/>
      <c r="T622" s="164"/>
      <c r="U622" s="164"/>
      <c r="V622" s="164"/>
      <c r="W622" s="164"/>
      <c r="X622" s="164"/>
      <c r="Y622" s="164"/>
      <c r="Z622" s="164"/>
    </row>
    <row r="623" ht="13.5" customHeight="1">
      <c r="A623" s="164"/>
      <c r="B623" s="164"/>
      <c r="C623" s="164"/>
      <c r="D623" s="164"/>
      <c r="E623" s="164"/>
      <c r="F623" s="164"/>
      <c r="G623" s="164"/>
      <c r="H623" s="164"/>
      <c r="I623" s="164"/>
      <c r="J623" s="164"/>
      <c r="K623" s="164"/>
      <c r="L623" s="164"/>
      <c r="M623" s="164"/>
      <c r="N623" s="164"/>
      <c r="O623" s="164"/>
      <c r="P623" s="164"/>
      <c r="Q623" s="164"/>
      <c r="R623" s="164"/>
      <c r="S623" s="164"/>
      <c r="T623" s="164"/>
      <c r="U623" s="164"/>
      <c r="V623" s="164"/>
      <c r="W623" s="164"/>
      <c r="X623" s="164"/>
      <c r="Y623" s="164"/>
      <c r="Z623" s="164"/>
    </row>
    <row r="624" ht="13.5" customHeight="1">
      <c r="A624" s="164"/>
      <c r="B624" s="164"/>
      <c r="C624" s="164"/>
      <c r="D624" s="164"/>
      <c r="E624" s="164"/>
      <c r="F624" s="164"/>
      <c r="G624" s="164"/>
      <c r="H624" s="164"/>
      <c r="I624" s="164"/>
      <c r="J624" s="164"/>
      <c r="K624" s="164"/>
      <c r="L624" s="164"/>
      <c r="M624" s="164"/>
      <c r="N624" s="164"/>
      <c r="O624" s="164"/>
      <c r="P624" s="164"/>
      <c r="Q624" s="164"/>
      <c r="R624" s="164"/>
      <c r="S624" s="164"/>
      <c r="T624" s="164"/>
      <c r="U624" s="164"/>
      <c r="V624" s="164"/>
      <c r="W624" s="164"/>
      <c r="X624" s="164"/>
      <c r="Y624" s="164"/>
      <c r="Z624" s="164"/>
    </row>
    <row r="625" ht="13.5" customHeight="1">
      <c r="A625" s="164"/>
      <c r="B625" s="164"/>
      <c r="C625" s="164"/>
      <c r="D625" s="164"/>
      <c r="E625" s="164"/>
      <c r="F625" s="164"/>
      <c r="G625" s="164"/>
      <c r="H625" s="164"/>
      <c r="I625" s="164"/>
      <c r="J625" s="164"/>
      <c r="K625" s="164"/>
      <c r="L625" s="164"/>
      <c r="M625" s="164"/>
      <c r="N625" s="164"/>
      <c r="O625" s="164"/>
      <c r="P625" s="164"/>
      <c r="Q625" s="164"/>
      <c r="R625" s="164"/>
      <c r="S625" s="164"/>
      <c r="T625" s="164"/>
      <c r="U625" s="164"/>
      <c r="V625" s="164"/>
      <c r="W625" s="164"/>
      <c r="X625" s="164"/>
      <c r="Y625" s="164"/>
      <c r="Z625" s="164"/>
    </row>
    <row r="626" ht="13.5" customHeight="1">
      <c r="A626" s="164"/>
      <c r="B626" s="164"/>
      <c r="C626" s="164"/>
      <c r="D626" s="164"/>
      <c r="E626" s="164"/>
      <c r="F626" s="164"/>
      <c r="G626" s="164"/>
      <c r="H626" s="164"/>
      <c r="I626" s="164"/>
      <c r="J626" s="164"/>
      <c r="K626" s="164"/>
      <c r="L626" s="164"/>
      <c r="M626" s="164"/>
      <c r="N626" s="164"/>
      <c r="O626" s="164"/>
      <c r="P626" s="164"/>
      <c r="Q626" s="164"/>
      <c r="R626" s="164"/>
      <c r="S626" s="164"/>
      <c r="T626" s="164"/>
      <c r="U626" s="164"/>
      <c r="V626" s="164"/>
      <c r="W626" s="164"/>
      <c r="X626" s="164"/>
      <c r="Y626" s="164"/>
      <c r="Z626" s="164"/>
    </row>
    <row r="627" ht="13.5" customHeight="1">
      <c r="A627" s="164"/>
      <c r="B627" s="164"/>
      <c r="C627" s="164"/>
      <c r="D627" s="164"/>
      <c r="E627" s="164"/>
      <c r="F627" s="164"/>
      <c r="G627" s="164"/>
      <c r="H627" s="164"/>
      <c r="I627" s="164"/>
      <c r="J627" s="164"/>
      <c r="K627" s="164"/>
      <c r="L627" s="164"/>
      <c r="M627" s="164"/>
      <c r="N627" s="164"/>
      <c r="O627" s="164"/>
      <c r="P627" s="164"/>
      <c r="Q627" s="164"/>
      <c r="R627" s="164"/>
      <c r="S627" s="164"/>
      <c r="T627" s="164"/>
      <c r="U627" s="164"/>
      <c r="V627" s="164"/>
      <c r="W627" s="164"/>
      <c r="X627" s="164"/>
      <c r="Y627" s="164"/>
      <c r="Z627" s="164"/>
    </row>
    <row r="628" ht="13.5" customHeight="1">
      <c r="A628" s="164"/>
      <c r="B628" s="164"/>
      <c r="C628" s="164"/>
      <c r="D628" s="164"/>
      <c r="E628" s="164"/>
      <c r="F628" s="164"/>
      <c r="G628" s="164"/>
      <c r="H628" s="164"/>
      <c r="I628" s="164"/>
      <c r="J628" s="164"/>
      <c r="K628" s="164"/>
      <c r="L628" s="164"/>
      <c r="M628" s="164"/>
      <c r="N628" s="164"/>
      <c r="O628" s="164"/>
      <c r="P628" s="164"/>
      <c r="Q628" s="164"/>
      <c r="R628" s="164"/>
      <c r="S628" s="164"/>
      <c r="T628" s="164"/>
      <c r="U628" s="164"/>
      <c r="V628" s="164"/>
      <c r="W628" s="164"/>
      <c r="X628" s="164"/>
      <c r="Y628" s="164"/>
      <c r="Z628" s="164"/>
    </row>
    <row r="629" ht="13.5" customHeight="1">
      <c r="A629" s="164"/>
      <c r="B629" s="164"/>
      <c r="C629" s="164"/>
      <c r="D629" s="164"/>
      <c r="E629" s="164"/>
      <c r="F629" s="164"/>
      <c r="G629" s="164"/>
      <c r="H629" s="164"/>
      <c r="I629" s="164"/>
      <c r="J629" s="164"/>
      <c r="K629" s="164"/>
      <c r="L629" s="164"/>
      <c r="M629" s="164"/>
      <c r="N629" s="164"/>
      <c r="O629" s="164"/>
      <c r="P629" s="164"/>
      <c r="Q629" s="164"/>
      <c r="R629" s="164"/>
      <c r="S629" s="164"/>
      <c r="T629" s="164"/>
      <c r="U629" s="164"/>
      <c r="V629" s="164"/>
      <c r="W629" s="164"/>
      <c r="X629" s="164"/>
      <c r="Y629" s="164"/>
      <c r="Z629" s="164"/>
    </row>
    <row r="630" ht="13.5" customHeight="1">
      <c r="A630" s="164"/>
      <c r="B630" s="164"/>
      <c r="C630" s="164"/>
      <c r="D630" s="164"/>
      <c r="E630" s="164"/>
      <c r="F630" s="164"/>
      <c r="G630" s="164"/>
      <c r="H630" s="164"/>
      <c r="I630" s="164"/>
      <c r="J630" s="164"/>
      <c r="K630" s="164"/>
      <c r="L630" s="164"/>
      <c r="M630" s="164"/>
      <c r="N630" s="164"/>
      <c r="O630" s="164"/>
      <c r="P630" s="164"/>
      <c r="Q630" s="164"/>
      <c r="R630" s="164"/>
      <c r="S630" s="164"/>
      <c r="T630" s="164"/>
      <c r="U630" s="164"/>
      <c r="V630" s="164"/>
      <c r="W630" s="164"/>
      <c r="X630" s="164"/>
      <c r="Y630" s="164"/>
      <c r="Z630" s="164"/>
    </row>
    <row r="631" ht="13.5" customHeight="1">
      <c r="A631" s="164"/>
      <c r="B631" s="164"/>
      <c r="C631" s="164"/>
      <c r="D631" s="164"/>
      <c r="E631" s="164"/>
      <c r="F631" s="164"/>
      <c r="G631" s="164"/>
      <c r="H631" s="164"/>
      <c r="I631" s="164"/>
      <c r="J631" s="164"/>
      <c r="K631" s="164"/>
      <c r="L631" s="164"/>
      <c r="M631" s="164"/>
      <c r="N631" s="164"/>
      <c r="O631" s="164"/>
      <c r="P631" s="164"/>
      <c r="Q631" s="164"/>
      <c r="R631" s="164"/>
      <c r="S631" s="164"/>
      <c r="T631" s="164"/>
      <c r="U631" s="164"/>
      <c r="V631" s="164"/>
      <c r="W631" s="164"/>
      <c r="X631" s="164"/>
      <c r="Y631" s="164"/>
      <c r="Z631" s="164"/>
    </row>
    <row r="632" ht="13.5" customHeight="1">
      <c r="A632" s="164"/>
      <c r="B632" s="164"/>
      <c r="C632" s="164"/>
      <c r="D632" s="164"/>
      <c r="E632" s="164"/>
      <c r="F632" s="164"/>
      <c r="G632" s="164"/>
      <c r="H632" s="164"/>
      <c r="I632" s="164"/>
      <c r="J632" s="164"/>
      <c r="K632" s="164"/>
      <c r="L632" s="164"/>
      <c r="M632" s="164"/>
      <c r="N632" s="164"/>
      <c r="O632" s="164"/>
      <c r="P632" s="164"/>
      <c r="Q632" s="164"/>
      <c r="R632" s="164"/>
      <c r="S632" s="164"/>
      <c r="T632" s="164"/>
      <c r="U632" s="164"/>
      <c r="V632" s="164"/>
      <c r="W632" s="164"/>
      <c r="X632" s="164"/>
      <c r="Y632" s="164"/>
      <c r="Z632" s="164"/>
    </row>
    <row r="633" ht="13.5" customHeight="1">
      <c r="A633" s="164"/>
      <c r="B633" s="164"/>
      <c r="C633" s="164"/>
      <c r="D633" s="164"/>
      <c r="E633" s="164"/>
      <c r="F633" s="164"/>
      <c r="G633" s="164"/>
      <c r="H633" s="164"/>
      <c r="I633" s="164"/>
      <c r="J633" s="164"/>
      <c r="K633" s="164"/>
      <c r="L633" s="164"/>
      <c r="M633" s="164"/>
      <c r="N633" s="164"/>
      <c r="O633" s="164"/>
      <c r="P633" s="164"/>
      <c r="Q633" s="164"/>
      <c r="R633" s="164"/>
      <c r="S633" s="164"/>
      <c r="T633" s="164"/>
      <c r="U633" s="164"/>
      <c r="V633" s="164"/>
      <c r="W633" s="164"/>
      <c r="X633" s="164"/>
      <c r="Y633" s="164"/>
      <c r="Z633" s="164"/>
    </row>
    <row r="634" ht="13.5" customHeight="1">
      <c r="A634" s="164"/>
      <c r="B634" s="164"/>
      <c r="C634" s="164"/>
      <c r="D634" s="164"/>
      <c r="E634" s="164"/>
      <c r="F634" s="164"/>
      <c r="G634" s="164"/>
      <c r="H634" s="164"/>
      <c r="I634" s="164"/>
      <c r="J634" s="164"/>
      <c r="K634" s="164"/>
      <c r="L634" s="164"/>
      <c r="M634" s="164"/>
      <c r="N634" s="164"/>
      <c r="O634" s="164"/>
      <c r="P634" s="164"/>
      <c r="Q634" s="164"/>
      <c r="R634" s="164"/>
      <c r="S634" s="164"/>
      <c r="T634" s="164"/>
      <c r="U634" s="164"/>
      <c r="V634" s="164"/>
      <c r="W634" s="164"/>
      <c r="X634" s="164"/>
      <c r="Y634" s="164"/>
      <c r="Z634" s="164"/>
    </row>
    <row r="635" ht="13.5" customHeight="1">
      <c r="A635" s="164"/>
      <c r="B635" s="164"/>
      <c r="C635" s="164"/>
      <c r="D635" s="164"/>
      <c r="E635" s="164"/>
      <c r="F635" s="164"/>
      <c r="G635" s="164"/>
      <c r="H635" s="164"/>
      <c r="I635" s="164"/>
      <c r="J635" s="164"/>
      <c r="K635" s="164"/>
      <c r="L635" s="164"/>
      <c r="M635" s="164"/>
      <c r="N635" s="164"/>
      <c r="O635" s="164"/>
      <c r="P635" s="164"/>
      <c r="Q635" s="164"/>
      <c r="R635" s="164"/>
      <c r="S635" s="164"/>
      <c r="T635" s="164"/>
      <c r="U635" s="164"/>
      <c r="V635" s="164"/>
      <c r="W635" s="164"/>
      <c r="X635" s="164"/>
      <c r="Y635" s="164"/>
      <c r="Z635" s="164"/>
    </row>
    <row r="636" ht="13.5" customHeight="1">
      <c r="A636" s="164"/>
      <c r="B636" s="164"/>
      <c r="C636" s="164"/>
      <c r="D636" s="164"/>
      <c r="E636" s="164"/>
      <c r="F636" s="164"/>
      <c r="G636" s="164"/>
      <c r="H636" s="164"/>
      <c r="I636" s="164"/>
      <c r="J636" s="164"/>
      <c r="K636" s="164"/>
      <c r="L636" s="164"/>
      <c r="M636" s="164"/>
      <c r="N636" s="164"/>
      <c r="O636" s="164"/>
      <c r="P636" s="164"/>
      <c r="Q636" s="164"/>
      <c r="R636" s="164"/>
      <c r="S636" s="164"/>
      <c r="T636" s="164"/>
      <c r="U636" s="164"/>
      <c r="V636" s="164"/>
      <c r="W636" s="164"/>
      <c r="X636" s="164"/>
      <c r="Y636" s="164"/>
      <c r="Z636" s="164"/>
    </row>
    <row r="637" ht="13.5" customHeight="1">
      <c r="A637" s="164"/>
      <c r="B637" s="164"/>
      <c r="C637" s="164"/>
      <c r="D637" s="164"/>
      <c r="E637" s="164"/>
      <c r="F637" s="164"/>
      <c r="G637" s="164"/>
      <c r="H637" s="164"/>
      <c r="I637" s="164"/>
      <c r="J637" s="164"/>
      <c r="K637" s="164"/>
      <c r="L637" s="164"/>
      <c r="M637" s="164"/>
      <c r="N637" s="164"/>
      <c r="O637" s="164"/>
      <c r="P637" s="164"/>
      <c r="Q637" s="164"/>
      <c r="R637" s="164"/>
      <c r="S637" s="164"/>
      <c r="T637" s="164"/>
      <c r="U637" s="164"/>
      <c r="V637" s="164"/>
      <c r="W637" s="164"/>
      <c r="X637" s="164"/>
      <c r="Y637" s="164"/>
      <c r="Z637" s="164"/>
    </row>
    <row r="638" ht="13.5" customHeight="1">
      <c r="A638" s="164"/>
      <c r="B638" s="164"/>
      <c r="C638" s="164"/>
      <c r="D638" s="164"/>
      <c r="E638" s="164"/>
      <c r="F638" s="164"/>
      <c r="G638" s="164"/>
      <c r="H638" s="164"/>
      <c r="I638" s="164"/>
      <c r="J638" s="164"/>
      <c r="K638" s="164"/>
      <c r="L638" s="164"/>
      <c r="M638" s="164"/>
      <c r="N638" s="164"/>
      <c r="O638" s="164"/>
      <c r="P638" s="164"/>
      <c r="Q638" s="164"/>
      <c r="R638" s="164"/>
      <c r="S638" s="164"/>
      <c r="T638" s="164"/>
      <c r="U638" s="164"/>
      <c r="V638" s="164"/>
      <c r="W638" s="164"/>
      <c r="X638" s="164"/>
      <c r="Y638" s="164"/>
      <c r="Z638" s="164"/>
    </row>
    <row r="639" ht="13.5" customHeight="1">
      <c r="A639" s="164"/>
      <c r="B639" s="164"/>
      <c r="C639" s="164"/>
      <c r="D639" s="164"/>
      <c r="E639" s="164"/>
      <c r="F639" s="164"/>
      <c r="G639" s="164"/>
      <c r="H639" s="164"/>
      <c r="I639" s="164"/>
      <c r="J639" s="164"/>
      <c r="K639" s="164"/>
      <c r="L639" s="164"/>
      <c r="M639" s="164"/>
      <c r="N639" s="164"/>
      <c r="O639" s="164"/>
      <c r="P639" s="164"/>
      <c r="Q639" s="164"/>
      <c r="R639" s="164"/>
      <c r="S639" s="164"/>
      <c r="T639" s="164"/>
      <c r="U639" s="164"/>
      <c r="V639" s="164"/>
      <c r="W639" s="164"/>
      <c r="X639" s="164"/>
      <c r="Y639" s="164"/>
      <c r="Z639" s="164"/>
    </row>
    <row r="640" ht="13.5" customHeight="1">
      <c r="A640" s="164"/>
      <c r="B640" s="164"/>
      <c r="C640" s="164"/>
      <c r="D640" s="164"/>
      <c r="E640" s="164"/>
      <c r="F640" s="164"/>
      <c r="G640" s="164"/>
      <c r="H640" s="164"/>
      <c r="I640" s="164"/>
      <c r="J640" s="164"/>
      <c r="K640" s="164"/>
      <c r="L640" s="164"/>
      <c r="M640" s="164"/>
      <c r="N640" s="164"/>
      <c r="O640" s="164"/>
      <c r="P640" s="164"/>
      <c r="Q640" s="164"/>
      <c r="R640" s="164"/>
      <c r="S640" s="164"/>
      <c r="T640" s="164"/>
      <c r="U640" s="164"/>
      <c r="V640" s="164"/>
      <c r="W640" s="164"/>
      <c r="X640" s="164"/>
      <c r="Y640" s="164"/>
      <c r="Z640" s="164"/>
    </row>
    <row r="641" ht="13.5" customHeight="1">
      <c r="A641" s="164"/>
      <c r="B641" s="164"/>
      <c r="C641" s="164"/>
      <c r="D641" s="164"/>
      <c r="E641" s="164"/>
      <c r="F641" s="164"/>
      <c r="G641" s="164"/>
      <c r="H641" s="164"/>
      <c r="I641" s="164"/>
      <c r="J641" s="164"/>
      <c r="K641" s="164"/>
      <c r="L641" s="164"/>
      <c r="M641" s="164"/>
      <c r="N641" s="164"/>
      <c r="O641" s="164"/>
      <c r="P641" s="164"/>
      <c r="Q641" s="164"/>
      <c r="R641" s="164"/>
      <c r="S641" s="164"/>
      <c r="T641" s="164"/>
      <c r="U641" s="164"/>
      <c r="V641" s="164"/>
      <c r="W641" s="164"/>
      <c r="X641" s="164"/>
      <c r="Y641" s="164"/>
      <c r="Z641" s="164"/>
    </row>
    <row r="642" ht="13.5" customHeight="1">
      <c r="A642" s="164"/>
      <c r="B642" s="164"/>
      <c r="C642" s="164"/>
      <c r="D642" s="164"/>
      <c r="E642" s="164"/>
      <c r="F642" s="164"/>
      <c r="G642" s="164"/>
      <c r="H642" s="164"/>
      <c r="I642" s="164"/>
      <c r="J642" s="164"/>
      <c r="K642" s="164"/>
      <c r="L642" s="164"/>
      <c r="M642" s="164"/>
      <c r="N642" s="164"/>
      <c r="O642" s="164"/>
      <c r="P642" s="164"/>
      <c r="Q642" s="164"/>
      <c r="R642" s="164"/>
      <c r="S642" s="164"/>
      <c r="T642" s="164"/>
      <c r="U642" s="164"/>
      <c r="V642" s="164"/>
      <c r="W642" s="164"/>
      <c r="X642" s="164"/>
      <c r="Y642" s="164"/>
      <c r="Z642" s="164"/>
    </row>
    <row r="643" ht="13.5" customHeight="1">
      <c r="A643" s="164"/>
      <c r="B643" s="164"/>
      <c r="C643" s="164"/>
      <c r="D643" s="164"/>
      <c r="E643" s="164"/>
      <c r="F643" s="164"/>
      <c r="G643" s="164"/>
      <c r="H643" s="164"/>
      <c r="I643" s="164"/>
      <c r="J643" s="164"/>
      <c r="K643" s="164"/>
      <c r="L643" s="164"/>
      <c r="M643" s="164"/>
      <c r="N643" s="164"/>
      <c r="O643" s="164"/>
      <c r="P643" s="164"/>
      <c r="Q643" s="164"/>
      <c r="R643" s="164"/>
      <c r="S643" s="164"/>
      <c r="T643" s="164"/>
      <c r="U643" s="164"/>
      <c r="V643" s="164"/>
      <c r="W643" s="164"/>
      <c r="X643" s="164"/>
      <c r="Y643" s="164"/>
      <c r="Z643" s="164"/>
    </row>
    <row r="644" ht="13.5" customHeight="1">
      <c r="A644" s="164"/>
      <c r="B644" s="164"/>
      <c r="C644" s="164"/>
      <c r="D644" s="164"/>
      <c r="E644" s="164"/>
      <c r="F644" s="164"/>
      <c r="G644" s="164"/>
      <c r="H644" s="164"/>
      <c r="I644" s="164"/>
      <c r="J644" s="164"/>
      <c r="K644" s="164"/>
      <c r="L644" s="164"/>
      <c r="M644" s="164"/>
      <c r="N644" s="164"/>
      <c r="O644" s="164"/>
      <c r="P644" s="164"/>
      <c r="Q644" s="164"/>
      <c r="R644" s="164"/>
      <c r="S644" s="164"/>
      <c r="T644" s="164"/>
      <c r="U644" s="164"/>
      <c r="V644" s="164"/>
      <c r="W644" s="164"/>
      <c r="X644" s="164"/>
      <c r="Y644" s="164"/>
      <c r="Z644" s="164"/>
    </row>
    <row r="645" ht="13.5" customHeight="1">
      <c r="A645" s="164"/>
      <c r="B645" s="164"/>
      <c r="C645" s="164"/>
      <c r="D645" s="164"/>
      <c r="E645" s="164"/>
      <c r="F645" s="164"/>
      <c r="G645" s="164"/>
      <c r="H645" s="164"/>
      <c r="I645" s="164"/>
      <c r="J645" s="164"/>
      <c r="K645" s="164"/>
      <c r="L645" s="164"/>
      <c r="M645" s="164"/>
      <c r="N645" s="164"/>
      <c r="O645" s="164"/>
      <c r="P645" s="164"/>
      <c r="Q645" s="164"/>
      <c r="R645" s="164"/>
      <c r="S645" s="164"/>
      <c r="T645" s="164"/>
      <c r="U645" s="164"/>
      <c r="V645" s="164"/>
      <c r="W645" s="164"/>
      <c r="X645" s="164"/>
      <c r="Y645" s="164"/>
      <c r="Z645" s="164"/>
    </row>
    <row r="646" ht="13.5" customHeight="1">
      <c r="A646" s="164"/>
      <c r="B646" s="164"/>
      <c r="C646" s="164"/>
      <c r="D646" s="164"/>
      <c r="E646" s="164"/>
      <c r="F646" s="164"/>
      <c r="G646" s="164"/>
      <c r="H646" s="164"/>
      <c r="I646" s="164"/>
      <c r="J646" s="164"/>
      <c r="K646" s="164"/>
      <c r="L646" s="164"/>
      <c r="M646" s="164"/>
      <c r="N646" s="164"/>
      <c r="O646" s="164"/>
      <c r="P646" s="164"/>
      <c r="Q646" s="164"/>
      <c r="R646" s="164"/>
      <c r="S646" s="164"/>
      <c r="T646" s="164"/>
      <c r="U646" s="164"/>
      <c r="V646" s="164"/>
      <c r="W646" s="164"/>
      <c r="X646" s="164"/>
      <c r="Y646" s="164"/>
      <c r="Z646" s="164"/>
    </row>
    <row r="647" ht="13.5" customHeight="1">
      <c r="A647" s="164"/>
      <c r="B647" s="164"/>
      <c r="C647" s="164"/>
      <c r="D647" s="164"/>
      <c r="E647" s="164"/>
      <c r="F647" s="164"/>
      <c r="G647" s="164"/>
      <c r="H647" s="164"/>
      <c r="I647" s="164"/>
      <c r="J647" s="164"/>
      <c r="K647" s="164"/>
      <c r="L647" s="164"/>
      <c r="M647" s="164"/>
      <c r="N647" s="164"/>
      <c r="O647" s="164"/>
      <c r="P647" s="164"/>
      <c r="Q647" s="164"/>
      <c r="R647" s="164"/>
      <c r="S647" s="164"/>
      <c r="T647" s="164"/>
      <c r="U647" s="164"/>
      <c r="V647" s="164"/>
      <c r="W647" s="164"/>
      <c r="X647" s="164"/>
      <c r="Y647" s="164"/>
      <c r="Z647" s="164"/>
    </row>
    <row r="648" ht="13.5" customHeight="1">
      <c r="A648" s="164"/>
      <c r="B648" s="164"/>
      <c r="C648" s="164"/>
      <c r="D648" s="164"/>
      <c r="E648" s="164"/>
      <c r="F648" s="164"/>
      <c r="G648" s="164"/>
      <c r="H648" s="164"/>
      <c r="I648" s="164"/>
      <c r="J648" s="164"/>
      <c r="K648" s="164"/>
      <c r="L648" s="164"/>
      <c r="M648" s="164"/>
      <c r="N648" s="164"/>
      <c r="O648" s="164"/>
      <c r="P648" s="164"/>
      <c r="Q648" s="164"/>
      <c r="R648" s="164"/>
      <c r="S648" s="164"/>
      <c r="T648" s="164"/>
      <c r="U648" s="164"/>
      <c r="V648" s="164"/>
      <c r="W648" s="164"/>
      <c r="X648" s="164"/>
      <c r="Y648" s="164"/>
      <c r="Z648" s="164"/>
    </row>
    <row r="649" ht="13.5" customHeight="1">
      <c r="A649" s="164"/>
      <c r="B649" s="164"/>
      <c r="C649" s="164"/>
      <c r="D649" s="164"/>
      <c r="E649" s="164"/>
      <c r="F649" s="164"/>
      <c r="G649" s="164"/>
      <c r="H649" s="164"/>
      <c r="I649" s="164"/>
      <c r="J649" s="164"/>
      <c r="K649" s="164"/>
      <c r="L649" s="164"/>
      <c r="M649" s="164"/>
      <c r="N649" s="164"/>
      <c r="O649" s="164"/>
      <c r="P649" s="164"/>
      <c r="Q649" s="164"/>
      <c r="R649" s="164"/>
      <c r="S649" s="164"/>
      <c r="T649" s="164"/>
      <c r="U649" s="164"/>
      <c r="V649" s="164"/>
      <c r="W649" s="164"/>
      <c r="X649" s="164"/>
      <c r="Y649" s="164"/>
      <c r="Z649" s="164"/>
    </row>
    <row r="650" ht="13.5" customHeight="1">
      <c r="A650" s="164"/>
      <c r="B650" s="164"/>
      <c r="C650" s="164"/>
      <c r="D650" s="164"/>
      <c r="E650" s="164"/>
      <c r="F650" s="164"/>
      <c r="G650" s="164"/>
      <c r="H650" s="164"/>
      <c r="I650" s="164"/>
      <c r="J650" s="164"/>
      <c r="K650" s="164"/>
      <c r="L650" s="164"/>
      <c r="M650" s="164"/>
      <c r="N650" s="164"/>
      <c r="O650" s="164"/>
      <c r="P650" s="164"/>
      <c r="Q650" s="164"/>
      <c r="R650" s="164"/>
      <c r="S650" s="164"/>
      <c r="T650" s="164"/>
      <c r="U650" s="164"/>
      <c r="V650" s="164"/>
      <c r="W650" s="164"/>
      <c r="X650" s="164"/>
      <c r="Y650" s="164"/>
      <c r="Z650" s="164"/>
    </row>
    <row r="651" ht="13.5" customHeight="1">
      <c r="A651" s="164"/>
      <c r="B651" s="164"/>
      <c r="C651" s="164"/>
      <c r="D651" s="164"/>
      <c r="E651" s="164"/>
      <c r="F651" s="164"/>
      <c r="G651" s="164"/>
      <c r="H651" s="164"/>
      <c r="I651" s="164"/>
      <c r="J651" s="164"/>
      <c r="K651" s="164"/>
      <c r="L651" s="164"/>
      <c r="M651" s="164"/>
      <c r="N651" s="164"/>
      <c r="O651" s="164"/>
      <c r="P651" s="164"/>
      <c r="Q651" s="164"/>
      <c r="R651" s="164"/>
      <c r="S651" s="164"/>
      <c r="T651" s="164"/>
      <c r="U651" s="164"/>
      <c r="V651" s="164"/>
      <c r="W651" s="164"/>
      <c r="X651" s="164"/>
      <c r="Y651" s="164"/>
      <c r="Z651" s="164"/>
    </row>
    <row r="652" ht="13.5" customHeight="1">
      <c r="A652" s="164"/>
      <c r="B652" s="164"/>
      <c r="C652" s="164"/>
      <c r="D652" s="164"/>
      <c r="E652" s="164"/>
      <c r="F652" s="164"/>
      <c r="G652" s="164"/>
      <c r="H652" s="164"/>
      <c r="I652" s="164"/>
      <c r="J652" s="164"/>
      <c r="K652" s="164"/>
      <c r="L652" s="164"/>
      <c r="M652" s="164"/>
      <c r="N652" s="164"/>
      <c r="O652" s="164"/>
      <c r="P652" s="164"/>
      <c r="Q652" s="164"/>
      <c r="R652" s="164"/>
      <c r="S652" s="164"/>
      <c r="T652" s="164"/>
      <c r="U652" s="164"/>
      <c r="V652" s="164"/>
      <c r="W652" s="164"/>
      <c r="X652" s="164"/>
      <c r="Y652" s="164"/>
      <c r="Z652" s="164"/>
    </row>
    <row r="653" ht="13.5" customHeight="1">
      <c r="A653" s="164"/>
      <c r="B653" s="164"/>
      <c r="C653" s="164"/>
      <c r="D653" s="164"/>
      <c r="E653" s="164"/>
      <c r="F653" s="164"/>
      <c r="G653" s="164"/>
      <c r="H653" s="164"/>
      <c r="I653" s="164"/>
      <c r="J653" s="164"/>
      <c r="K653" s="164"/>
      <c r="L653" s="164"/>
      <c r="M653" s="164"/>
      <c r="N653" s="164"/>
      <c r="O653" s="164"/>
      <c r="P653" s="164"/>
      <c r="Q653" s="164"/>
      <c r="R653" s="164"/>
      <c r="S653" s="164"/>
      <c r="T653" s="164"/>
      <c r="U653" s="164"/>
      <c r="V653" s="164"/>
      <c r="W653" s="164"/>
      <c r="X653" s="164"/>
      <c r="Y653" s="164"/>
      <c r="Z653" s="164"/>
    </row>
    <row r="654" ht="13.5" customHeight="1">
      <c r="A654" s="164"/>
      <c r="B654" s="164"/>
      <c r="C654" s="164"/>
      <c r="D654" s="164"/>
      <c r="E654" s="164"/>
      <c r="F654" s="164"/>
      <c r="G654" s="164"/>
      <c r="H654" s="164"/>
      <c r="I654" s="164"/>
      <c r="J654" s="164"/>
      <c r="K654" s="164"/>
      <c r="L654" s="164"/>
      <c r="M654" s="164"/>
      <c r="N654" s="164"/>
      <c r="O654" s="164"/>
      <c r="P654" s="164"/>
      <c r="Q654" s="164"/>
      <c r="R654" s="164"/>
      <c r="S654" s="164"/>
      <c r="T654" s="164"/>
      <c r="U654" s="164"/>
      <c r="V654" s="164"/>
      <c r="W654" s="164"/>
      <c r="X654" s="164"/>
      <c r="Y654" s="164"/>
      <c r="Z654" s="164"/>
    </row>
    <row r="655" ht="13.5" customHeight="1">
      <c r="A655" s="164"/>
      <c r="B655" s="164"/>
      <c r="C655" s="164"/>
      <c r="D655" s="164"/>
      <c r="E655" s="164"/>
      <c r="F655" s="164"/>
      <c r="G655" s="164"/>
      <c r="H655" s="164"/>
      <c r="I655" s="164"/>
      <c r="J655" s="164"/>
      <c r="K655" s="164"/>
      <c r="L655" s="164"/>
      <c r="M655" s="164"/>
      <c r="N655" s="164"/>
      <c r="O655" s="164"/>
      <c r="P655" s="164"/>
      <c r="Q655" s="164"/>
      <c r="R655" s="164"/>
      <c r="S655" s="164"/>
      <c r="T655" s="164"/>
      <c r="U655" s="164"/>
      <c r="V655" s="164"/>
      <c r="W655" s="164"/>
      <c r="X655" s="164"/>
      <c r="Y655" s="164"/>
      <c r="Z655" s="164"/>
    </row>
    <row r="656" ht="13.5" customHeight="1">
      <c r="A656" s="164"/>
      <c r="B656" s="164"/>
      <c r="C656" s="164"/>
      <c r="D656" s="164"/>
      <c r="E656" s="164"/>
      <c r="F656" s="164"/>
      <c r="G656" s="164"/>
      <c r="H656" s="164"/>
      <c r="I656" s="164"/>
      <c r="J656" s="164"/>
      <c r="K656" s="164"/>
      <c r="L656" s="164"/>
      <c r="M656" s="164"/>
      <c r="N656" s="164"/>
      <c r="O656" s="164"/>
      <c r="P656" s="164"/>
      <c r="Q656" s="164"/>
      <c r="R656" s="164"/>
      <c r="S656" s="164"/>
      <c r="T656" s="164"/>
      <c r="U656" s="164"/>
      <c r="V656" s="164"/>
      <c r="W656" s="164"/>
      <c r="X656" s="164"/>
      <c r="Y656" s="164"/>
      <c r="Z656" s="164"/>
    </row>
    <row r="657" ht="13.5" customHeight="1">
      <c r="A657" s="164"/>
      <c r="B657" s="164"/>
      <c r="C657" s="164"/>
      <c r="D657" s="164"/>
      <c r="E657" s="164"/>
      <c r="F657" s="164"/>
      <c r="G657" s="164"/>
      <c r="H657" s="164"/>
      <c r="I657" s="164"/>
      <c r="J657" s="164"/>
      <c r="K657" s="164"/>
      <c r="L657" s="164"/>
      <c r="M657" s="164"/>
      <c r="N657" s="164"/>
      <c r="O657" s="164"/>
      <c r="P657" s="164"/>
      <c r="Q657" s="164"/>
      <c r="R657" s="164"/>
      <c r="S657" s="164"/>
      <c r="T657" s="164"/>
      <c r="U657" s="164"/>
      <c r="V657" s="164"/>
      <c r="W657" s="164"/>
      <c r="X657" s="164"/>
      <c r="Y657" s="164"/>
      <c r="Z657" s="164"/>
    </row>
    <row r="658" ht="13.5" customHeight="1">
      <c r="A658" s="164"/>
      <c r="B658" s="164"/>
      <c r="C658" s="164"/>
      <c r="D658" s="164"/>
      <c r="E658" s="164"/>
      <c r="F658" s="164"/>
      <c r="G658" s="164"/>
      <c r="H658" s="164"/>
      <c r="I658" s="164"/>
      <c r="J658" s="164"/>
      <c r="K658" s="164"/>
      <c r="L658" s="164"/>
      <c r="M658" s="164"/>
      <c r="N658" s="164"/>
      <c r="O658" s="164"/>
      <c r="P658" s="164"/>
      <c r="Q658" s="164"/>
      <c r="R658" s="164"/>
      <c r="S658" s="164"/>
      <c r="T658" s="164"/>
      <c r="U658" s="164"/>
      <c r="V658" s="164"/>
      <c r="W658" s="164"/>
      <c r="X658" s="164"/>
      <c r="Y658" s="164"/>
      <c r="Z658" s="164"/>
    </row>
    <row r="659" ht="13.5" customHeight="1">
      <c r="A659" s="164"/>
      <c r="B659" s="164"/>
      <c r="C659" s="164"/>
      <c r="D659" s="164"/>
      <c r="E659" s="164"/>
      <c r="F659" s="164"/>
      <c r="G659" s="164"/>
      <c r="H659" s="164"/>
      <c r="I659" s="164"/>
      <c r="J659" s="164"/>
      <c r="K659" s="164"/>
      <c r="L659" s="164"/>
      <c r="M659" s="164"/>
      <c r="N659" s="164"/>
      <c r="O659" s="164"/>
      <c r="P659" s="164"/>
      <c r="Q659" s="164"/>
      <c r="R659" s="164"/>
      <c r="S659" s="164"/>
      <c r="T659" s="164"/>
      <c r="U659" s="164"/>
      <c r="V659" s="164"/>
      <c r="W659" s="164"/>
      <c r="X659" s="164"/>
      <c r="Y659" s="164"/>
      <c r="Z659" s="164"/>
    </row>
    <row r="660" ht="13.5" customHeight="1">
      <c r="A660" s="164"/>
      <c r="B660" s="164"/>
      <c r="C660" s="164"/>
      <c r="D660" s="164"/>
      <c r="E660" s="164"/>
      <c r="F660" s="164"/>
      <c r="G660" s="164"/>
      <c r="H660" s="164"/>
      <c r="I660" s="164"/>
      <c r="J660" s="164"/>
      <c r="K660" s="164"/>
      <c r="L660" s="164"/>
      <c r="M660" s="164"/>
      <c r="N660" s="164"/>
      <c r="O660" s="164"/>
      <c r="P660" s="164"/>
      <c r="Q660" s="164"/>
      <c r="R660" s="164"/>
      <c r="S660" s="164"/>
      <c r="T660" s="164"/>
      <c r="U660" s="164"/>
      <c r="V660" s="164"/>
      <c r="W660" s="164"/>
      <c r="X660" s="164"/>
      <c r="Y660" s="164"/>
      <c r="Z660" s="164"/>
    </row>
    <row r="661" ht="13.5" customHeight="1">
      <c r="A661" s="164"/>
      <c r="B661" s="164"/>
      <c r="C661" s="164"/>
      <c r="D661" s="164"/>
      <c r="E661" s="164"/>
      <c r="F661" s="164"/>
      <c r="G661" s="164"/>
      <c r="H661" s="164"/>
      <c r="I661" s="164"/>
      <c r="J661" s="164"/>
      <c r="K661" s="164"/>
      <c r="L661" s="164"/>
      <c r="M661" s="164"/>
      <c r="N661" s="164"/>
      <c r="O661" s="164"/>
      <c r="P661" s="164"/>
      <c r="Q661" s="164"/>
      <c r="R661" s="164"/>
      <c r="S661" s="164"/>
      <c r="T661" s="164"/>
      <c r="U661" s="164"/>
      <c r="V661" s="164"/>
      <c r="W661" s="164"/>
      <c r="X661" s="164"/>
      <c r="Y661" s="164"/>
      <c r="Z661" s="164"/>
    </row>
    <row r="662" ht="13.5" customHeight="1">
      <c r="A662" s="164"/>
      <c r="B662" s="164"/>
      <c r="C662" s="164"/>
      <c r="D662" s="164"/>
      <c r="E662" s="164"/>
      <c r="F662" s="164"/>
      <c r="G662" s="164"/>
      <c r="H662" s="164"/>
      <c r="I662" s="164"/>
      <c r="J662" s="164"/>
      <c r="K662" s="164"/>
      <c r="L662" s="164"/>
      <c r="M662" s="164"/>
      <c r="N662" s="164"/>
      <c r="O662" s="164"/>
      <c r="P662" s="164"/>
      <c r="Q662" s="164"/>
      <c r="R662" s="164"/>
      <c r="S662" s="164"/>
      <c r="T662" s="164"/>
      <c r="U662" s="164"/>
      <c r="V662" s="164"/>
      <c r="W662" s="164"/>
      <c r="X662" s="164"/>
      <c r="Y662" s="164"/>
      <c r="Z662" s="164"/>
    </row>
    <row r="663" ht="13.5" customHeight="1">
      <c r="A663" s="164"/>
      <c r="B663" s="164"/>
      <c r="C663" s="164"/>
      <c r="D663" s="164"/>
      <c r="E663" s="164"/>
      <c r="F663" s="164"/>
      <c r="G663" s="164"/>
      <c r="H663" s="164"/>
      <c r="I663" s="164"/>
      <c r="J663" s="164"/>
      <c r="K663" s="164"/>
      <c r="L663" s="164"/>
      <c r="M663" s="164"/>
      <c r="N663" s="164"/>
      <c r="O663" s="164"/>
      <c r="P663" s="164"/>
      <c r="Q663" s="164"/>
      <c r="R663" s="164"/>
      <c r="S663" s="164"/>
      <c r="T663" s="164"/>
      <c r="U663" s="164"/>
      <c r="V663" s="164"/>
      <c r="W663" s="164"/>
      <c r="X663" s="164"/>
      <c r="Y663" s="164"/>
      <c r="Z663" s="164"/>
    </row>
    <row r="664" ht="13.5" customHeight="1">
      <c r="A664" s="164"/>
      <c r="B664" s="164"/>
      <c r="C664" s="164"/>
      <c r="D664" s="164"/>
      <c r="E664" s="164"/>
      <c r="F664" s="164"/>
      <c r="G664" s="164"/>
      <c r="H664" s="164"/>
      <c r="I664" s="164"/>
      <c r="J664" s="164"/>
      <c r="K664" s="164"/>
      <c r="L664" s="164"/>
      <c r="M664" s="164"/>
      <c r="N664" s="164"/>
      <c r="O664" s="164"/>
      <c r="P664" s="164"/>
      <c r="Q664" s="164"/>
      <c r="R664" s="164"/>
      <c r="S664" s="164"/>
      <c r="T664" s="164"/>
      <c r="U664" s="164"/>
      <c r="V664" s="164"/>
      <c r="W664" s="164"/>
      <c r="X664" s="164"/>
      <c r="Y664" s="164"/>
      <c r="Z664" s="164"/>
    </row>
    <row r="665" ht="13.5" customHeight="1">
      <c r="A665" s="164"/>
      <c r="B665" s="164"/>
      <c r="C665" s="164"/>
      <c r="D665" s="164"/>
      <c r="E665" s="164"/>
      <c r="F665" s="164"/>
      <c r="G665" s="164"/>
      <c r="H665" s="164"/>
      <c r="I665" s="164"/>
      <c r="J665" s="164"/>
      <c r="K665" s="164"/>
      <c r="L665" s="164"/>
      <c r="M665" s="164"/>
      <c r="N665" s="164"/>
      <c r="O665" s="164"/>
      <c r="P665" s="164"/>
      <c r="Q665" s="164"/>
      <c r="R665" s="164"/>
      <c r="S665" s="164"/>
      <c r="T665" s="164"/>
      <c r="U665" s="164"/>
      <c r="V665" s="164"/>
      <c r="W665" s="164"/>
      <c r="X665" s="164"/>
      <c r="Y665" s="164"/>
      <c r="Z665" s="164"/>
    </row>
    <row r="666" ht="13.5" customHeight="1">
      <c r="A666" s="164"/>
      <c r="B666" s="164"/>
      <c r="C666" s="164"/>
      <c r="D666" s="164"/>
      <c r="E666" s="164"/>
      <c r="F666" s="164"/>
      <c r="G666" s="164"/>
      <c r="H666" s="164"/>
      <c r="I666" s="164"/>
      <c r="J666" s="164"/>
      <c r="K666" s="164"/>
      <c r="L666" s="164"/>
      <c r="M666" s="164"/>
      <c r="N666" s="164"/>
      <c r="O666" s="164"/>
      <c r="P666" s="164"/>
      <c r="Q666" s="164"/>
      <c r="R666" s="164"/>
      <c r="S666" s="164"/>
      <c r="T666" s="164"/>
      <c r="U666" s="164"/>
      <c r="V666" s="164"/>
      <c r="W666" s="164"/>
      <c r="X666" s="164"/>
      <c r="Y666" s="164"/>
      <c r="Z666" s="164"/>
    </row>
    <row r="667" ht="13.5" customHeight="1">
      <c r="A667" s="164"/>
      <c r="B667" s="164"/>
      <c r="C667" s="164"/>
      <c r="D667" s="164"/>
      <c r="E667" s="164"/>
      <c r="F667" s="164"/>
      <c r="G667" s="164"/>
      <c r="H667" s="164"/>
      <c r="I667" s="164"/>
      <c r="J667" s="164"/>
      <c r="K667" s="164"/>
      <c r="L667" s="164"/>
      <c r="M667" s="164"/>
      <c r="N667" s="164"/>
      <c r="O667" s="164"/>
      <c r="P667" s="164"/>
      <c r="Q667" s="164"/>
      <c r="R667" s="164"/>
      <c r="S667" s="164"/>
      <c r="T667" s="164"/>
      <c r="U667" s="164"/>
      <c r="V667" s="164"/>
      <c r="W667" s="164"/>
      <c r="X667" s="164"/>
      <c r="Y667" s="164"/>
      <c r="Z667" s="164"/>
    </row>
    <row r="668" ht="13.5" customHeight="1">
      <c r="A668" s="164"/>
      <c r="B668" s="164"/>
      <c r="C668" s="164"/>
      <c r="D668" s="164"/>
      <c r="E668" s="164"/>
      <c r="F668" s="164"/>
      <c r="G668" s="164"/>
      <c r="H668" s="164"/>
      <c r="I668" s="164"/>
      <c r="J668" s="164"/>
      <c r="K668" s="164"/>
      <c r="L668" s="164"/>
      <c r="M668" s="164"/>
      <c r="N668" s="164"/>
      <c r="O668" s="164"/>
      <c r="P668" s="164"/>
      <c r="Q668" s="164"/>
      <c r="R668" s="164"/>
      <c r="S668" s="164"/>
      <c r="T668" s="164"/>
      <c r="U668" s="164"/>
      <c r="V668" s="164"/>
      <c r="W668" s="164"/>
      <c r="X668" s="164"/>
      <c r="Y668" s="164"/>
      <c r="Z668" s="164"/>
    </row>
    <row r="669" ht="13.5" customHeight="1">
      <c r="A669" s="164"/>
      <c r="B669" s="164"/>
      <c r="C669" s="164"/>
      <c r="D669" s="164"/>
      <c r="E669" s="164"/>
      <c r="F669" s="164"/>
      <c r="G669" s="164"/>
      <c r="H669" s="164"/>
      <c r="I669" s="164"/>
      <c r="J669" s="164"/>
      <c r="K669" s="164"/>
      <c r="L669" s="164"/>
      <c r="M669" s="164"/>
      <c r="N669" s="164"/>
      <c r="O669" s="164"/>
      <c r="P669" s="164"/>
      <c r="Q669" s="164"/>
      <c r="R669" s="164"/>
      <c r="S669" s="164"/>
      <c r="T669" s="164"/>
      <c r="U669" s="164"/>
      <c r="V669" s="164"/>
      <c r="W669" s="164"/>
      <c r="X669" s="164"/>
      <c r="Y669" s="164"/>
      <c r="Z669" s="164"/>
    </row>
    <row r="670" ht="13.5" customHeight="1">
      <c r="A670" s="164"/>
      <c r="B670" s="164"/>
      <c r="C670" s="164"/>
      <c r="D670" s="164"/>
      <c r="E670" s="164"/>
      <c r="F670" s="164"/>
      <c r="G670" s="164"/>
      <c r="H670" s="164"/>
      <c r="I670" s="164"/>
      <c r="J670" s="164"/>
      <c r="K670" s="164"/>
      <c r="L670" s="164"/>
      <c r="M670" s="164"/>
      <c r="N670" s="164"/>
      <c r="O670" s="164"/>
      <c r="P670" s="164"/>
      <c r="Q670" s="164"/>
      <c r="R670" s="164"/>
      <c r="S670" s="164"/>
      <c r="T670" s="164"/>
      <c r="U670" s="164"/>
      <c r="V670" s="164"/>
      <c r="W670" s="164"/>
      <c r="X670" s="164"/>
      <c r="Y670" s="164"/>
      <c r="Z670" s="164"/>
    </row>
    <row r="671" ht="13.5" customHeight="1">
      <c r="A671" s="164"/>
      <c r="B671" s="164"/>
      <c r="C671" s="164"/>
      <c r="D671" s="164"/>
      <c r="E671" s="164"/>
      <c r="F671" s="164"/>
      <c r="G671" s="164"/>
      <c r="H671" s="164"/>
      <c r="I671" s="164"/>
      <c r="J671" s="164"/>
      <c r="K671" s="164"/>
      <c r="L671" s="164"/>
      <c r="M671" s="164"/>
      <c r="N671" s="164"/>
      <c r="O671" s="164"/>
      <c r="P671" s="164"/>
      <c r="Q671" s="164"/>
      <c r="R671" s="164"/>
      <c r="S671" s="164"/>
      <c r="T671" s="164"/>
      <c r="U671" s="164"/>
      <c r="V671" s="164"/>
      <c r="W671" s="164"/>
      <c r="X671" s="164"/>
      <c r="Y671" s="164"/>
      <c r="Z671" s="164"/>
    </row>
    <row r="672" ht="13.5" customHeight="1">
      <c r="A672" s="164"/>
      <c r="B672" s="164"/>
      <c r="C672" s="164"/>
      <c r="D672" s="164"/>
      <c r="E672" s="164"/>
      <c r="F672" s="164"/>
      <c r="G672" s="164"/>
      <c r="H672" s="164"/>
      <c r="I672" s="164"/>
      <c r="J672" s="164"/>
      <c r="K672" s="164"/>
      <c r="L672" s="164"/>
      <c r="M672" s="164"/>
      <c r="N672" s="164"/>
      <c r="O672" s="164"/>
      <c r="P672" s="164"/>
      <c r="Q672" s="164"/>
      <c r="R672" s="164"/>
      <c r="S672" s="164"/>
      <c r="T672" s="164"/>
      <c r="U672" s="164"/>
      <c r="V672" s="164"/>
      <c r="W672" s="164"/>
      <c r="X672" s="164"/>
      <c r="Y672" s="164"/>
      <c r="Z672" s="164"/>
    </row>
    <row r="673" ht="13.5" customHeight="1">
      <c r="A673" s="164"/>
      <c r="B673" s="164"/>
      <c r="C673" s="164"/>
      <c r="D673" s="164"/>
      <c r="E673" s="164"/>
      <c r="F673" s="164"/>
      <c r="G673" s="164"/>
      <c r="H673" s="164"/>
      <c r="I673" s="164"/>
      <c r="J673" s="164"/>
      <c r="K673" s="164"/>
      <c r="L673" s="164"/>
      <c r="M673" s="164"/>
      <c r="N673" s="164"/>
      <c r="O673" s="164"/>
      <c r="P673" s="164"/>
      <c r="Q673" s="164"/>
      <c r="R673" s="164"/>
      <c r="S673" s="164"/>
      <c r="T673" s="164"/>
      <c r="U673" s="164"/>
      <c r="V673" s="164"/>
      <c r="W673" s="164"/>
      <c r="X673" s="164"/>
      <c r="Y673" s="164"/>
      <c r="Z673" s="164"/>
    </row>
    <row r="674" ht="13.5" customHeight="1">
      <c r="A674" s="164"/>
      <c r="B674" s="164"/>
      <c r="C674" s="164"/>
      <c r="D674" s="164"/>
      <c r="E674" s="164"/>
      <c r="F674" s="164"/>
      <c r="G674" s="164"/>
      <c r="H674" s="164"/>
      <c r="I674" s="164"/>
      <c r="J674" s="164"/>
      <c r="K674" s="164"/>
      <c r="L674" s="164"/>
      <c r="M674" s="164"/>
      <c r="N674" s="164"/>
      <c r="O674" s="164"/>
      <c r="P674" s="164"/>
      <c r="Q674" s="164"/>
      <c r="R674" s="164"/>
      <c r="S674" s="164"/>
      <c r="T674" s="164"/>
      <c r="U674" s="164"/>
      <c r="V674" s="164"/>
      <c r="W674" s="164"/>
      <c r="X674" s="164"/>
      <c r="Y674" s="164"/>
      <c r="Z674" s="164"/>
    </row>
    <row r="675" ht="13.5" customHeight="1">
      <c r="A675" s="164"/>
      <c r="B675" s="164"/>
      <c r="C675" s="164"/>
      <c r="D675" s="164"/>
      <c r="E675" s="164"/>
      <c r="F675" s="164"/>
      <c r="G675" s="164"/>
      <c r="H675" s="164"/>
      <c r="I675" s="164"/>
      <c r="J675" s="164"/>
      <c r="K675" s="164"/>
      <c r="L675" s="164"/>
      <c r="M675" s="164"/>
      <c r="N675" s="164"/>
      <c r="O675" s="164"/>
      <c r="P675" s="164"/>
      <c r="Q675" s="164"/>
      <c r="R675" s="164"/>
      <c r="S675" s="164"/>
      <c r="T675" s="164"/>
      <c r="U675" s="164"/>
      <c r="V675" s="164"/>
      <c r="W675" s="164"/>
      <c r="X675" s="164"/>
      <c r="Y675" s="164"/>
      <c r="Z675" s="164"/>
    </row>
    <row r="676" ht="13.5" customHeight="1">
      <c r="A676" s="164"/>
      <c r="B676" s="164"/>
      <c r="C676" s="164"/>
      <c r="D676" s="164"/>
      <c r="E676" s="164"/>
      <c r="F676" s="164"/>
      <c r="G676" s="164"/>
      <c r="H676" s="164"/>
      <c r="I676" s="164"/>
      <c r="J676" s="164"/>
      <c r="K676" s="164"/>
      <c r="L676" s="164"/>
      <c r="M676" s="164"/>
      <c r="N676" s="164"/>
      <c r="O676" s="164"/>
      <c r="P676" s="164"/>
      <c r="Q676" s="164"/>
      <c r="R676" s="164"/>
      <c r="S676" s="164"/>
      <c r="T676" s="164"/>
      <c r="U676" s="164"/>
      <c r="V676" s="164"/>
      <c r="W676" s="164"/>
      <c r="X676" s="164"/>
      <c r="Y676" s="164"/>
      <c r="Z676" s="164"/>
    </row>
    <row r="677" ht="13.5" customHeight="1">
      <c r="A677" s="164"/>
      <c r="B677" s="164"/>
      <c r="C677" s="164"/>
      <c r="D677" s="164"/>
      <c r="E677" s="164"/>
      <c r="F677" s="164"/>
      <c r="G677" s="164"/>
      <c r="H677" s="164"/>
      <c r="I677" s="164"/>
      <c r="J677" s="164"/>
      <c r="K677" s="164"/>
      <c r="L677" s="164"/>
      <c r="M677" s="164"/>
      <c r="N677" s="164"/>
      <c r="O677" s="164"/>
      <c r="P677" s="164"/>
      <c r="Q677" s="164"/>
      <c r="R677" s="164"/>
      <c r="S677" s="164"/>
      <c r="T677" s="164"/>
      <c r="U677" s="164"/>
      <c r="V677" s="164"/>
      <c r="W677" s="164"/>
      <c r="X677" s="164"/>
      <c r="Y677" s="164"/>
      <c r="Z677" s="164"/>
    </row>
    <row r="678" ht="13.5" customHeight="1">
      <c r="A678" s="164"/>
      <c r="B678" s="164"/>
      <c r="C678" s="164"/>
      <c r="D678" s="164"/>
      <c r="E678" s="164"/>
      <c r="F678" s="164"/>
      <c r="G678" s="164"/>
      <c r="H678" s="164"/>
      <c r="I678" s="164"/>
      <c r="J678" s="164"/>
      <c r="K678" s="164"/>
      <c r="L678" s="164"/>
      <c r="M678" s="164"/>
      <c r="N678" s="164"/>
      <c r="O678" s="164"/>
      <c r="P678" s="164"/>
      <c r="Q678" s="164"/>
      <c r="R678" s="164"/>
      <c r="S678" s="164"/>
      <c r="T678" s="164"/>
      <c r="U678" s="164"/>
      <c r="V678" s="164"/>
      <c r="W678" s="164"/>
      <c r="X678" s="164"/>
      <c r="Y678" s="164"/>
      <c r="Z678" s="164"/>
    </row>
    <row r="679" ht="13.5" customHeight="1">
      <c r="A679" s="164"/>
      <c r="B679" s="164"/>
      <c r="C679" s="164"/>
      <c r="D679" s="164"/>
      <c r="E679" s="164"/>
      <c r="F679" s="164"/>
      <c r="G679" s="164"/>
      <c r="H679" s="164"/>
      <c r="I679" s="164"/>
      <c r="J679" s="164"/>
      <c r="K679" s="164"/>
      <c r="L679" s="164"/>
      <c r="M679" s="164"/>
      <c r="N679" s="164"/>
      <c r="O679" s="164"/>
      <c r="P679" s="164"/>
      <c r="Q679" s="164"/>
      <c r="R679" s="164"/>
      <c r="S679" s="164"/>
      <c r="T679" s="164"/>
      <c r="U679" s="164"/>
      <c r="V679" s="164"/>
      <c r="W679" s="164"/>
      <c r="X679" s="164"/>
      <c r="Y679" s="164"/>
      <c r="Z679" s="164"/>
    </row>
    <row r="680" ht="13.5" customHeight="1">
      <c r="A680" s="164"/>
      <c r="B680" s="164"/>
      <c r="C680" s="164"/>
      <c r="D680" s="164"/>
      <c r="E680" s="164"/>
      <c r="F680" s="164"/>
      <c r="G680" s="164"/>
      <c r="H680" s="164"/>
      <c r="I680" s="164"/>
      <c r="J680" s="164"/>
      <c r="K680" s="164"/>
      <c r="L680" s="164"/>
      <c r="M680" s="164"/>
      <c r="N680" s="164"/>
      <c r="O680" s="164"/>
      <c r="P680" s="164"/>
      <c r="Q680" s="164"/>
      <c r="R680" s="164"/>
      <c r="S680" s="164"/>
      <c r="T680" s="164"/>
      <c r="U680" s="164"/>
      <c r="V680" s="164"/>
      <c r="W680" s="164"/>
      <c r="X680" s="164"/>
      <c r="Y680" s="164"/>
      <c r="Z680" s="164"/>
    </row>
    <row r="681" ht="13.5" customHeight="1">
      <c r="A681" s="164"/>
      <c r="B681" s="164"/>
      <c r="C681" s="164"/>
      <c r="D681" s="164"/>
      <c r="E681" s="164"/>
      <c r="F681" s="164"/>
      <c r="G681" s="164"/>
      <c r="H681" s="164"/>
      <c r="I681" s="164"/>
      <c r="J681" s="164"/>
      <c r="K681" s="164"/>
      <c r="L681" s="164"/>
      <c r="M681" s="164"/>
      <c r="N681" s="164"/>
      <c r="O681" s="164"/>
      <c r="P681" s="164"/>
      <c r="Q681" s="164"/>
      <c r="R681" s="164"/>
      <c r="S681" s="164"/>
      <c r="T681" s="164"/>
      <c r="U681" s="164"/>
      <c r="V681" s="164"/>
      <c r="W681" s="164"/>
      <c r="X681" s="164"/>
      <c r="Y681" s="164"/>
      <c r="Z681" s="164"/>
    </row>
    <row r="682" ht="13.5" customHeight="1">
      <c r="A682" s="164"/>
      <c r="B682" s="164"/>
      <c r="C682" s="164"/>
      <c r="D682" s="164"/>
      <c r="E682" s="164"/>
      <c r="F682" s="164"/>
      <c r="G682" s="164"/>
      <c r="H682" s="164"/>
      <c r="I682" s="164"/>
      <c r="J682" s="164"/>
      <c r="K682" s="164"/>
      <c r="L682" s="164"/>
      <c r="M682" s="164"/>
      <c r="N682" s="164"/>
      <c r="O682" s="164"/>
      <c r="P682" s="164"/>
      <c r="Q682" s="164"/>
      <c r="R682" s="164"/>
      <c r="S682" s="164"/>
      <c r="T682" s="164"/>
      <c r="U682" s="164"/>
      <c r="V682" s="164"/>
      <c r="W682" s="164"/>
      <c r="X682" s="164"/>
      <c r="Y682" s="164"/>
      <c r="Z682" s="164"/>
    </row>
    <row r="683" ht="13.5" customHeight="1">
      <c r="A683" s="164"/>
      <c r="B683" s="164"/>
      <c r="C683" s="164"/>
      <c r="D683" s="164"/>
      <c r="E683" s="164"/>
      <c r="F683" s="164"/>
      <c r="G683" s="164"/>
      <c r="H683" s="164"/>
      <c r="I683" s="164"/>
      <c r="J683" s="164"/>
      <c r="K683" s="164"/>
      <c r="L683" s="164"/>
      <c r="M683" s="164"/>
      <c r="N683" s="164"/>
      <c r="O683" s="164"/>
      <c r="P683" s="164"/>
      <c r="Q683" s="164"/>
      <c r="R683" s="164"/>
      <c r="S683" s="164"/>
      <c r="T683" s="164"/>
      <c r="U683" s="164"/>
      <c r="V683" s="164"/>
      <c r="W683" s="164"/>
      <c r="X683" s="164"/>
      <c r="Y683" s="164"/>
      <c r="Z683" s="164"/>
    </row>
    <row r="684" ht="13.5" customHeight="1">
      <c r="A684" s="164"/>
      <c r="B684" s="164"/>
      <c r="C684" s="164"/>
      <c r="D684" s="164"/>
      <c r="E684" s="164"/>
      <c r="F684" s="164"/>
      <c r="G684" s="164"/>
      <c r="H684" s="164"/>
      <c r="I684" s="164"/>
      <c r="J684" s="164"/>
      <c r="K684" s="164"/>
      <c r="L684" s="164"/>
      <c r="M684" s="164"/>
      <c r="N684" s="164"/>
      <c r="O684" s="164"/>
      <c r="P684" s="164"/>
      <c r="Q684" s="164"/>
      <c r="R684" s="164"/>
      <c r="S684" s="164"/>
      <c r="T684" s="164"/>
      <c r="U684" s="164"/>
      <c r="V684" s="164"/>
      <c r="W684" s="164"/>
      <c r="X684" s="164"/>
      <c r="Y684" s="164"/>
      <c r="Z684" s="164"/>
    </row>
    <row r="685" ht="13.5" customHeight="1">
      <c r="A685" s="164"/>
      <c r="B685" s="164"/>
      <c r="C685" s="164"/>
      <c r="D685" s="164"/>
      <c r="E685" s="164"/>
      <c r="F685" s="164"/>
      <c r="G685" s="164"/>
      <c r="H685" s="164"/>
      <c r="I685" s="164"/>
      <c r="J685" s="164"/>
      <c r="K685" s="164"/>
      <c r="L685" s="164"/>
      <c r="M685" s="164"/>
      <c r="N685" s="164"/>
      <c r="O685" s="164"/>
      <c r="P685" s="164"/>
      <c r="Q685" s="164"/>
      <c r="R685" s="164"/>
      <c r="S685" s="164"/>
      <c r="T685" s="164"/>
      <c r="U685" s="164"/>
      <c r="V685" s="164"/>
      <c r="W685" s="164"/>
      <c r="X685" s="164"/>
      <c r="Y685" s="164"/>
      <c r="Z685" s="164"/>
    </row>
    <row r="686" ht="13.5" customHeight="1">
      <c r="A686" s="164"/>
      <c r="B686" s="164"/>
      <c r="C686" s="164"/>
      <c r="D686" s="164"/>
      <c r="E686" s="164"/>
      <c r="F686" s="164"/>
      <c r="G686" s="164"/>
      <c r="H686" s="164"/>
      <c r="I686" s="164"/>
      <c r="J686" s="164"/>
      <c r="K686" s="164"/>
      <c r="L686" s="164"/>
      <c r="M686" s="164"/>
      <c r="N686" s="164"/>
      <c r="O686" s="164"/>
      <c r="P686" s="164"/>
      <c r="Q686" s="164"/>
      <c r="R686" s="164"/>
      <c r="S686" s="164"/>
      <c r="T686" s="164"/>
      <c r="U686" s="164"/>
      <c r="V686" s="164"/>
      <c r="W686" s="164"/>
      <c r="X686" s="164"/>
      <c r="Y686" s="164"/>
      <c r="Z686" s="164"/>
    </row>
    <row r="687" ht="13.5" customHeight="1">
      <c r="A687" s="164"/>
      <c r="B687" s="164"/>
      <c r="C687" s="164"/>
      <c r="D687" s="164"/>
      <c r="E687" s="164"/>
      <c r="F687" s="164"/>
      <c r="G687" s="164"/>
      <c r="H687" s="164"/>
      <c r="I687" s="164"/>
      <c r="J687" s="164"/>
      <c r="K687" s="164"/>
      <c r="L687" s="164"/>
      <c r="M687" s="164"/>
      <c r="N687" s="164"/>
      <c r="O687" s="164"/>
      <c r="P687" s="164"/>
      <c r="Q687" s="164"/>
      <c r="R687" s="164"/>
      <c r="S687" s="164"/>
      <c r="T687" s="164"/>
      <c r="U687" s="164"/>
      <c r="V687" s="164"/>
      <c r="W687" s="164"/>
      <c r="X687" s="164"/>
      <c r="Y687" s="164"/>
      <c r="Z687" s="164"/>
    </row>
    <row r="688" ht="13.5" customHeight="1">
      <c r="A688" s="164"/>
      <c r="B688" s="164"/>
      <c r="C688" s="164"/>
      <c r="D688" s="164"/>
      <c r="E688" s="164"/>
      <c r="F688" s="164"/>
      <c r="G688" s="164"/>
      <c r="H688" s="164"/>
      <c r="I688" s="164"/>
      <c r="J688" s="164"/>
      <c r="K688" s="164"/>
      <c r="L688" s="164"/>
      <c r="M688" s="164"/>
      <c r="N688" s="164"/>
      <c r="O688" s="164"/>
      <c r="P688" s="164"/>
      <c r="Q688" s="164"/>
      <c r="R688" s="164"/>
      <c r="S688" s="164"/>
      <c r="T688" s="164"/>
      <c r="U688" s="164"/>
      <c r="V688" s="164"/>
      <c r="W688" s="164"/>
      <c r="X688" s="164"/>
      <c r="Y688" s="164"/>
      <c r="Z688" s="164"/>
    </row>
    <row r="689" ht="13.5" customHeight="1">
      <c r="A689" s="164"/>
      <c r="B689" s="164"/>
      <c r="C689" s="164"/>
      <c r="D689" s="164"/>
      <c r="E689" s="164"/>
      <c r="F689" s="164"/>
      <c r="G689" s="164"/>
      <c r="H689" s="164"/>
      <c r="I689" s="164"/>
      <c r="J689" s="164"/>
      <c r="K689" s="164"/>
      <c r="L689" s="164"/>
      <c r="M689" s="164"/>
      <c r="N689" s="164"/>
      <c r="O689" s="164"/>
      <c r="P689" s="164"/>
      <c r="Q689" s="164"/>
      <c r="R689" s="164"/>
      <c r="S689" s="164"/>
      <c r="T689" s="164"/>
      <c r="U689" s="164"/>
      <c r="V689" s="164"/>
      <c r="W689" s="164"/>
      <c r="X689" s="164"/>
      <c r="Y689" s="164"/>
      <c r="Z689" s="164"/>
    </row>
    <row r="690" ht="13.5" customHeight="1">
      <c r="A690" s="164"/>
      <c r="B690" s="164"/>
      <c r="C690" s="164"/>
      <c r="D690" s="164"/>
      <c r="E690" s="164"/>
      <c r="F690" s="164"/>
      <c r="G690" s="164"/>
      <c r="H690" s="164"/>
      <c r="I690" s="164"/>
      <c r="J690" s="164"/>
      <c r="K690" s="164"/>
      <c r="L690" s="164"/>
      <c r="M690" s="164"/>
      <c r="N690" s="164"/>
      <c r="O690" s="164"/>
      <c r="P690" s="164"/>
      <c r="Q690" s="164"/>
      <c r="R690" s="164"/>
      <c r="S690" s="164"/>
      <c r="T690" s="164"/>
      <c r="U690" s="164"/>
      <c r="V690" s="164"/>
      <c r="W690" s="164"/>
      <c r="X690" s="164"/>
      <c r="Y690" s="164"/>
      <c r="Z690" s="164"/>
    </row>
    <row r="691" ht="13.5" customHeight="1">
      <c r="A691" s="164"/>
      <c r="B691" s="164"/>
      <c r="C691" s="164"/>
      <c r="D691" s="164"/>
      <c r="E691" s="164"/>
      <c r="F691" s="164"/>
      <c r="G691" s="164"/>
      <c r="H691" s="164"/>
      <c r="I691" s="164"/>
      <c r="J691" s="164"/>
      <c r="K691" s="164"/>
      <c r="L691" s="164"/>
      <c r="M691" s="164"/>
      <c r="N691" s="164"/>
      <c r="O691" s="164"/>
      <c r="P691" s="164"/>
      <c r="Q691" s="164"/>
      <c r="R691" s="164"/>
      <c r="S691" s="164"/>
      <c r="T691" s="164"/>
      <c r="U691" s="164"/>
      <c r="V691" s="164"/>
      <c r="W691" s="164"/>
      <c r="X691" s="164"/>
      <c r="Y691" s="164"/>
      <c r="Z691" s="164"/>
    </row>
    <row r="692" ht="13.5" customHeight="1">
      <c r="A692" s="164"/>
      <c r="B692" s="164"/>
      <c r="C692" s="164"/>
      <c r="D692" s="164"/>
      <c r="E692" s="164"/>
      <c r="F692" s="164"/>
      <c r="G692" s="164"/>
      <c r="H692" s="164"/>
      <c r="I692" s="164"/>
      <c r="J692" s="164"/>
      <c r="K692" s="164"/>
      <c r="L692" s="164"/>
      <c r="M692" s="164"/>
      <c r="N692" s="164"/>
      <c r="O692" s="164"/>
      <c r="P692" s="164"/>
      <c r="Q692" s="164"/>
      <c r="R692" s="164"/>
      <c r="S692" s="164"/>
      <c r="T692" s="164"/>
      <c r="U692" s="164"/>
      <c r="V692" s="164"/>
      <c r="W692" s="164"/>
      <c r="X692" s="164"/>
      <c r="Y692" s="164"/>
      <c r="Z692" s="164"/>
    </row>
    <row r="693" ht="13.5" customHeight="1">
      <c r="A693" s="164"/>
      <c r="B693" s="164"/>
      <c r="C693" s="164"/>
      <c r="D693" s="164"/>
      <c r="E693" s="164"/>
      <c r="F693" s="164"/>
      <c r="G693" s="164"/>
      <c r="H693" s="164"/>
      <c r="I693" s="164"/>
      <c r="J693" s="164"/>
      <c r="K693" s="164"/>
      <c r="L693" s="164"/>
      <c r="M693" s="164"/>
      <c r="N693" s="164"/>
      <c r="O693" s="164"/>
      <c r="P693" s="164"/>
      <c r="Q693" s="164"/>
      <c r="R693" s="164"/>
      <c r="S693" s="164"/>
      <c r="T693" s="164"/>
      <c r="U693" s="164"/>
      <c r="V693" s="164"/>
      <c r="W693" s="164"/>
      <c r="X693" s="164"/>
      <c r="Y693" s="164"/>
      <c r="Z693" s="164"/>
    </row>
    <row r="694" ht="13.5" customHeight="1">
      <c r="A694" s="164"/>
      <c r="B694" s="164"/>
      <c r="C694" s="164"/>
      <c r="D694" s="164"/>
      <c r="E694" s="164"/>
      <c r="F694" s="164"/>
      <c r="G694" s="164"/>
      <c r="H694" s="164"/>
      <c r="I694" s="164"/>
      <c r="J694" s="164"/>
      <c r="K694" s="164"/>
      <c r="L694" s="164"/>
      <c r="M694" s="164"/>
      <c r="N694" s="164"/>
      <c r="O694" s="164"/>
      <c r="P694" s="164"/>
      <c r="Q694" s="164"/>
      <c r="R694" s="164"/>
      <c r="S694" s="164"/>
      <c r="T694" s="164"/>
      <c r="U694" s="164"/>
      <c r="V694" s="164"/>
      <c r="W694" s="164"/>
      <c r="X694" s="164"/>
      <c r="Y694" s="164"/>
      <c r="Z694" s="164"/>
    </row>
    <row r="695" ht="13.5" customHeight="1">
      <c r="A695" s="164"/>
      <c r="B695" s="164"/>
      <c r="C695" s="164"/>
      <c r="D695" s="164"/>
      <c r="E695" s="164"/>
      <c r="F695" s="164"/>
      <c r="G695" s="164"/>
      <c r="H695" s="164"/>
      <c r="I695" s="164"/>
      <c r="J695" s="164"/>
      <c r="K695" s="164"/>
      <c r="L695" s="164"/>
      <c r="M695" s="164"/>
      <c r="N695" s="164"/>
      <c r="O695" s="164"/>
      <c r="P695" s="164"/>
      <c r="Q695" s="164"/>
      <c r="R695" s="164"/>
      <c r="S695" s="164"/>
      <c r="T695" s="164"/>
      <c r="U695" s="164"/>
      <c r="V695" s="164"/>
      <c r="W695" s="164"/>
      <c r="X695" s="164"/>
      <c r="Y695" s="164"/>
      <c r="Z695" s="164"/>
    </row>
    <row r="696" ht="13.5" customHeight="1">
      <c r="A696" s="164"/>
      <c r="B696" s="164"/>
      <c r="C696" s="164"/>
      <c r="D696" s="164"/>
      <c r="E696" s="164"/>
      <c r="F696" s="164"/>
      <c r="G696" s="164"/>
      <c r="H696" s="164"/>
      <c r="I696" s="164"/>
      <c r="J696" s="164"/>
      <c r="K696" s="164"/>
      <c r="L696" s="164"/>
      <c r="M696" s="164"/>
      <c r="N696" s="164"/>
      <c r="O696" s="164"/>
      <c r="P696" s="164"/>
      <c r="Q696" s="164"/>
      <c r="R696" s="164"/>
      <c r="S696" s="164"/>
      <c r="T696" s="164"/>
      <c r="U696" s="164"/>
      <c r="V696" s="164"/>
      <c r="W696" s="164"/>
      <c r="X696" s="164"/>
      <c r="Y696" s="164"/>
      <c r="Z696" s="164"/>
    </row>
    <row r="697" ht="13.5" customHeight="1">
      <c r="A697" s="164"/>
      <c r="B697" s="164"/>
      <c r="C697" s="164"/>
      <c r="D697" s="164"/>
      <c r="E697" s="164"/>
      <c r="F697" s="164"/>
      <c r="G697" s="164"/>
      <c r="H697" s="164"/>
      <c r="I697" s="164"/>
      <c r="J697" s="164"/>
      <c r="K697" s="164"/>
      <c r="L697" s="164"/>
      <c r="M697" s="164"/>
      <c r="N697" s="164"/>
      <c r="O697" s="164"/>
      <c r="P697" s="164"/>
      <c r="Q697" s="164"/>
      <c r="R697" s="164"/>
      <c r="S697" s="164"/>
      <c r="T697" s="164"/>
      <c r="U697" s="164"/>
      <c r="V697" s="164"/>
      <c r="W697" s="164"/>
      <c r="X697" s="164"/>
      <c r="Y697" s="164"/>
      <c r="Z697" s="164"/>
    </row>
    <row r="698" ht="13.5" customHeight="1">
      <c r="A698" s="164"/>
      <c r="B698" s="164"/>
      <c r="C698" s="164"/>
      <c r="D698" s="164"/>
      <c r="E698" s="164"/>
      <c r="F698" s="164"/>
      <c r="G698" s="164"/>
      <c r="H698" s="164"/>
      <c r="I698" s="164"/>
      <c r="J698" s="164"/>
      <c r="K698" s="164"/>
      <c r="L698" s="164"/>
      <c r="M698" s="164"/>
      <c r="N698" s="164"/>
      <c r="O698" s="164"/>
      <c r="P698" s="164"/>
      <c r="Q698" s="164"/>
      <c r="R698" s="164"/>
      <c r="S698" s="164"/>
      <c r="T698" s="164"/>
      <c r="U698" s="164"/>
      <c r="V698" s="164"/>
      <c r="W698" s="164"/>
      <c r="X698" s="164"/>
      <c r="Y698" s="164"/>
      <c r="Z698" s="164"/>
    </row>
    <row r="699" ht="13.5" customHeight="1">
      <c r="A699" s="164"/>
      <c r="B699" s="164"/>
      <c r="C699" s="164"/>
      <c r="D699" s="164"/>
      <c r="E699" s="164"/>
      <c r="F699" s="164"/>
      <c r="G699" s="164"/>
      <c r="H699" s="164"/>
      <c r="I699" s="164"/>
      <c r="J699" s="164"/>
      <c r="K699" s="164"/>
      <c r="L699" s="164"/>
      <c r="M699" s="164"/>
      <c r="N699" s="164"/>
      <c r="O699" s="164"/>
      <c r="P699" s="164"/>
      <c r="Q699" s="164"/>
      <c r="R699" s="164"/>
      <c r="S699" s="164"/>
      <c r="T699" s="164"/>
      <c r="U699" s="164"/>
      <c r="V699" s="164"/>
      <c r="W699" s="164"/>
      <c r="X699" s="164"/>
      <c r="Y699" s="164"/>
      <c r="Z699" s="164"/>
    </row>
    <row r="700" ht="13.5" customHeight="1">
      <c r="A700" s="164"/>
      <c r="B700" s="164"/>
      <c r="C700" s="164"/>
      <c r="D700" s="164"/>
      <c r="E700" s="164"/>
      <c r="F700" s="164"/>
      <c r="G700" s="164"/>
      <c r="H700" s="164"/>
      <c r="I700" s="164"/>
      <c r="J700" s="164"/>
      <c r="K700" s="164"/>
      <c r="L700" s="164"/>
      <c r="M700" s="164"/>
      <c r="N700" s="164"/>
      <c r="O700" s="164"/>
      <c r="P700" s="164"/>
      <c r="Q700" s="164"/>
      <c r="R700" s="164"/>
      <c r="S700" s="164"/>
      <c r="T700" s="164"/>
      <c r="U700" s="164"/>
      <c r="V700" s="164"/>
      <c r="W700" s="164"/>
      <c r="X700" s="164"/>
      <c r="Y700" s="164"/>
      <c r="Z700" s="164"/>
    </row>
    <row r="701" ht="13.5" customHeight="1">
      <c r="A701" s="164"/>
      <c r="B701" s="164"/>
      <c r="C701" s="164"/>
      <c r="D701" s="164"/>
      <c r="E701" s="164"/>
      <c r="F701" s="164"/>
      <c r="G701" s="164"/>
      <c r="H701" s="164"/>
      <c r="I701" s="164"/>
      <c r="J701" s="164"/>
      <c r="K701" s="164"/>
      <c r="L701" s="164"/>
      <c r="M701" s="164"/>
      <c r="N701" s="164"/>
      <c r="O701" s="164"/>
      <c r="P701" s="164"/>
      <c r="Q701" s="164"/>
      <c r="R701" s="164"/>
      <c r="S701" s="164"/>
      <c r="T701" s="164"/>
      <c r="U701" s="164"/>
      <c r="V701" s="164"/>
      <c r="W701" s="164"/>
      <c r="X701" s="164"/>
      <c r="Y701" s="164"/>
      <c r="Z701" s="164"/>
    </row>
    <row r="702" ht="13.5" customHeight="1">
      <c r="A702" s="164"/>
      <c r="B702" s="164"/>
      <c r="C702" s="164"/>
      <c r="D702" s="164"/>
      <c r="E702" s="164"/>
      <c r="F702" s="164"/>
      <c r="G702" s="164"/>
      <c r="H702" s="164"/>
      <c r="I702" s="164"/>
      <c r="J702" s="164"/>
      <c r="K702" s="164"/>
      <c r="L702" s="164"/>
      <c r="M702" s="164"/>
      <c r="N702" s="164"/>
      <c r="O702" s="164"/>
      <c r="P702" s="164"/>
      <c r="Q702" s="164"/>
      <c r="R702" s="164"/>
      <c r="S702" s="164"/>
      <c r="T702" s="164"/>
      <c r="U702" s="164"/>
      <c r="V702" s="164"/>
      <c r="W702" s="164"/>
      <c r="X702" s="164"/>
      <c r="Y702" s="164"/>
      <c r="Z702" s="164"/>
    </row>
    <row r="703" ht="13.5" customHeight="1">
      <c r="A703" s="164"/>
      <c r="B703" s="164"/>
      <c r="C703" s="164"/>
      <c r="D703" s="164"/>
      <c r="E703" s="164"/>
      <c r="F703" s="164"/>
      <c r="G703" s="164"/>
      <c r="H703" s="164"/>
      <c r="I703" s="164"/>
      <c r="J703" s="164"/>
      <c r="K703" s="164"/>
      <c r="L703" s="164"/>
      <c r="M703" s="164"/>
      <c r="N703" s="164"/>
      <c r="O703" s="164"/>
      <c r="P703" s="164"/>
      <c r="Q703" s="164"/>
      <c r="R703" s="164"/>
      <c r="S703" s="164"/>
      <c r="T703" s="164"/>
      <c r="U703" s="164"/>
      <c r="V703" s="164"/>
      <c r="W703" s="164"/>
      <c r="X703" s="164"/>
      <c r="Y703" s="164"/>
      <c r="Z703" s="164"/>
    </row>
    <row r="704" ht="13.5" customHeight="1">
      <c r="A704" s="164"/>
      <c r="B704" s="164"/>
      <c r="C704" s="164"/>
      <c r="D704" s="164"/>
      <c r="E704" s="164"/>
      <c r="F704" s="164"/>
      <c r="G704" s="164"/>
      <c r="H704" s="164"/>
      <c r="I704" s="164"/>
      <c r="J704" s="164"/>
      <c r="K704" s="164"/>
      <c r="L704" s="164"/>
      <c r="M704" s="164"/>
      <c r="N704" s="164"/>
      <c r="O704" s="164"/>
      <c r="P704" s="164"/>
      <c r="Q704" s="164"/>
      <c r="R704" s="164"/>
      <c r="S704" s="164"/>
      <c r="T704" s="164"/>
      <c r="U704" s="164"/>
      <c r="V704" s="164"/>
      <c r="W704" s="164"/>
      <c r="X704" s="164"/>
      <c r="Y704" s="164"/>
      <c r="Z704" s="164"/>
    </row>
    <row r="705" ht="13.5" customHeight="1">
      <c r="A705" s="164"/>
      <c r="B705" s="164"/>
      <c r="C705" s="164"/>
      <c r="D705" s="164"/>
      <c r="E705" s="164"/>
      <c r="F705" s="164"/>
      <c r="G705" s="164"/>
      <c r="H705" s="164"/>
      <c r="I705" s="164"/>
      <c r="J705" s="164"/>
      <c r="K705" s="164"/>
      <c r="L705" s="164"/>
      <c r="M705" s="164"/>
      <c r="N705" s="164"/>
      <c r="O705" s="164"/>
      <c r="P705" s="164"/>
      <c r="Q705" s="164"/>
      <c r="R705" s="164"/>
      <c r="S705" s="164"/>
      <c r="T705" s="164"/>
      <c r="U705" s="164"/>
      <c r="V705" s="164"/>
      <c r="W705" s="164"/>
      <c r="X705" s="164"/>
      <c r="Y705" s="164"/>
      <c r="Z705" s="164"/>
    </row>
    <row r="706" ht="13.5" customHeight="1">
      <c r="A706" s="164"/>
      <c r="B706" s="164"/>
      <c r="C706" s="164"/>
      <c r="D706" s="164"/>
      <c r="E706" s="164"/>
      <c r="F706" s="164"/>
      <c r="G706" s="164"/>
      <c r="H706" s="164"/>
      <c r="I706" s="164"/>
      <c r="J706" s="164"/>
      <c r="K706" s="164"/>
      <c r="L706" s="164"/>
      <c r="M706" s="164"/>
      <c r="N706" s="164"/>
      <c r="O706" s="164"/>
      <c r="P706" s="164"/>
      <c r="Q706" s="164"/>
      <c r="R706" s="164"/>
      <c r="S706" s="164"/>
      <c r="T706" s="164"/>
      <c r="U706" s="164"/>
      <c r="V706" s="164"/>
      <c r="W706" s="164"/>
      <c r="X706" s="164"/>
      <c r="Y706" s="164"/>
      <c r="Z706" s="164"/>
    </row>
    <row r="707" ht="13.5" customHeight="1">
      <c r="A707" s="164"/>
      <c r="B707" s="164"/>
      <c r="C707" s="164"/>
      <c r="D707" s="164"/>
      <c r="E707" s="164"/>
      <c r="F707" s="164"/>
      <c r="G707" s="164"/>
      <c r="H707" s="164"/>
      <c r="I707" s="164"/>
      <c r="J707" s="164"/>
      <c r="K707" s="164"/>
      <c r="L707" s="164"/>
      <c r="M707" s="164"/>
      <c r="N707" s="164"/>
      <c r="O707" s="164"/>
      <c r="P707" s="164"/>
      <c r="Q707" s="164"/>
      <c r="R707" s="164"/>
      <c r="S707" s="164"/>
      <c r="T707" s="164"/>
      <c r="U707" s="164"/>
      <c r="V707" s="164"/>
      <c r="W707" s="164"/>
      <c r="X707" s="164"/>
      <c r="Y707" s="164"/>
      <c r="Z707" s="164"/>
    </row>
    <row r="708" ht="13.5" customHeight="1">
      <c r="A708" s="164"/>
      <c r="B708" s="164"/>
      <c r="C708" s="164"/>
      <c r="D708" s="164"/>
      <c r="E708" s="164"/>
      <c r="F708" s="164"/>
      <c r="G708" s="164"/>
      <c r="H708" s="164"/>
      <c r="I708" s="164"/>
      <c r="J708" s="164"/>
      <c r="K708" s="164"/>
      <c r="L708" s="164"/>
      <c r="M708" s="164"/>
      <c r="N708" s="164"/>
      <c r="O708" s="164"/>
      <c r="P708" s="164"/>
      <c r="Q708" s="164"/>
      <c r="R708" s="164"/>
      <c r="S708" s="164"/>
      <c r="T708" s="164"/>
      <c r="U708" s="164"/>
      <c r="V708" s="164"/>
      <c r="W708" s="164"/>
      <c r="X708" s="164"/>
      <c r="Y708" s="164"/>
      <c r="Z708" s="164"/>
    </row>
    <row r="709" ht="13.5" customHeight="1">
      <c r="A709" s="164"/>
      <c r="B709" s="164"/>
      <c r="C709" s="164"/>
      <c r="D709" s="164"/>
      <c r="E709" s="164"/>
      <c r="F709" s="164"/>
      <c r="G709" s="164"/>
      <c r="H709" s="164"/>
      <c r="I709" s="164"/>
      <c r="J709" s="164"/>
      <c r="K709" s="164"/>
      <c r="L709" s="164"/>
      <c r="M709" s="164"/>
      <c r="N709" s="164"/>
      <c r="O709" s="164"/>
      <c r="P709" s="164"/>
      <c r="Q709" s="164"/>
      <c r="R709" s="164"/>
      <c r="S709" s="164"/>
      <c r="T709" s="164"/>
      <c r="U709" s="164"/>
      <c r="V709" s="164"/>
      <c r="W709" s="164"/>
      <c r="X709" s="164"/>
      <c r="Y709" s="164"/>
      <c r="Z709" s="164"/>
    </row>
    <row r="710" ht="13.5" customHeight="1">
      <c r="A710" s="164"/>
      <c r="B710" s="164"/>
      <c r="C710" s="164"/>
      <c r="D710" s="164"/>
      <c r="E710" s="164"/>
      <c r="F710" s="164"/>
      <c r="G710" s="164"/>
      <c r="H710" s="164"/>
      <c r="I710" s="164"/>
      <c r="J710" s="164"/>
      <c r="K710" s="164"/>
      <c r="L710" s="164"/>
      <c r="M710" s="164"/>
      <c r="N710" s="164"/>
      <c r="O710" s="164"/>
      <c r="P710" s="164"/>
      <c r="Q710" s="164"/>
      <c r="R710" s="164"/>
      <c r="S710" s="164"/>
      <c r="T710" s="164"/>
      <c r="U710" s="164"/>
      <c r="V710" s="164"/>
      <c r="W710" s="164"/>
      <c r="X710" s="164"/>
      <c r="Y710" s="164"/>
      <c r="Z710" s="164"/>
    </row>
    <row r="711" ht="13.5" customHeight="1">
      <c r="A711" s="164"/>
      <c r="B711" s="164"/>
      <c r="C711" s="164"/>
      <c r="D711" s="164"/>
      <c r="E711" s="164"/>
      <c r="F711" s="164"/>
      <c r="G711" s="164"/>
      <c r="H711" s="164"/>
      <c r="I711" s="164"/>
      <c r="J711" s="164"/>
      <c r="K711" s="164"/>
      <c r="L711" s="164"/>
      <c r="M711" s="164"/>
      <c r="N711" s="164"/>
      <c r="O711" s="164"/>
      <c r="P711" s="164"/>
      <c r="Q711" s="164"/>
      <c r="R711" s="164"/>
      <c r="S711" s="164"/>
      <c r="T711" s="164"/>
      <c r="U711" s="164"/>
      <c r="V711" s="164"/>
      <c r="W711" s="164"/>
      <c r="X711" s="164"/>
      <c r="Y711" s="164"/>
      <c r="Z711" s="164"/>
    </row>
    <row r="712" ht="13.5" customHeight="1">
      <c r="A712" s="164"/>
      <c r="B712" s="164"/>
      <c r="C712" s="164"/>
      <c r="D712" s="164"/>
      <c r="E712" s="164"/>
      <c r="F712" s="164"/>
      <c r="G712" s="164"/>
      <c r="H712" s="164"/>
      <c r="I712" s="164"/>
      <c r="J712" s="164"/>
      <c r="K712" s="164"/>
      <c r="L712" s="164"/>
      <c r="M712" s="164"/>
      <c r="N712" s="164"/>
      <c r="O712" s="164"/>
      <c r="P712" s="164"/>
      <c r="Q712" s="164"/>
      <c r="R712" s="164"/>
      <c r="S712" s="164"/>
      <c r="T712" s="164"/>
      <c r="U712" s="164"/>
      <c r="V712" s="164"/>
      <c r="W712" s="164"/>
      <c r="X712" s="164"/>
      <c r="Y712" s="164"/>
      <c r="Z712" s="164"/>
    </row>
    <row r="713" ht="13.5" customHeight="1">
      <c r="A713" s="164"/>
      <c r="B713" s="164"/>
      <c r="C713" s="164"/>
      <c r="D713" s="164"/>
      <c r="E713" s="164"/>
      <c r="F713" s="164"/>
      <c r="G713" s="164"/>
      <c r="H713" s="164"/>
      <c r="I713" s="164"/>
      <c r="J713" s="164"/>
      <c r="K713" s="164"/>
      <c r="L713" s="164"/>
      <c r="M713" s="164"/>
      <c r="N713" s="164"/>
      <c r="O713" s="164"/>
      <c r="P713" s="164"/>
      <c r="Q713" s="164"/>
      <c r="R713" s="164"/>
      <c r="S713" s="164"/>
      <c r="T713" s="164"/>
      <c r="U713" s="164"/>
      <c r="V713" s="164"/>
      <c r="W713" s="164"/>
      <c r="X713" s="164"/>
      <c r="Y713" s="164"/>
      <c r="Z713" s="164"/>
    </row>
    <row r="714" ht="13.5" customHeight="1">
      <c r="A714" s="164"/>
      <c r="B714" s="164"/>
      <c r="C714" s="164"/>
      <c r="D714" s="164"/>
      <c r="E714" s="164"/>
      <c r="F714" s="164"/>
      <c r="G714" s="164"/>
      <c r="H714" s="164"/>
      <c r="I714" s="164"/>
      <c r="J714" s="164"/>
      <c r="K714" s="164"/>
      <c r="L714" s="164"/>
      <c r="M714" s="164"/>
      <c r="N714" s="164"/>
      <c r="O714" s="164"/>
      <c r="P714" s="164"/>
      <c r="Q714" s="164"/>
      <c r="R714" s="164"/>
      <c r="S714" s="164"/>
      <c r="T714" s="164"/>
      <c r="U714" s="164"/>
      <c r="V714" s="164"/>
      <c r="W714" s="164"/>
      <c r="X714" s="164"/>
      <c r="Y714" s="164"/>
      <c r="Z714" s="164"/>
    </row>
    <row r="715" ht="13.5" customHeight="1">
      <c r="A715" s="164"/>
      <c r="B715" s="164"/>
      <c r="C715" s="164"/>
      <c r="D715" s="164"/>
      <c r="E715" s="164"/>
      <c r="F715" s="164"/>
      <c r="G715" s="164"/>
      <c r="H715" s="164"/>
      <c r="I715" s="164"/>
      <c r="J715" s="164"/>
      <c r="K715" s="164"/>
      <c r="L715" s="164"/>
      <c r="M715" s="164"/>
      <c r="N715" s="164"/>
      <c r="O715" s="164"/>
      <c r="P715" s="164"/>
      <c r="Q715" s="164"/>
      <c r="R715" s="164"/>
      <c r="S715" s="164"/>
      <c r="T715" s="164"/>
      <c r="U715" s="164"/>
      <c r="V715" s="164"/>
      <c r="W715" s="164"/>
      <c r="X715" s="164"/>
      <c r="Y715" s="164"/>
      <c r="Z715" s="164"/>
    </row>
    <row r="716" ht="13.5" customHeight="1">
      <c r="A716" s="164"/>
      <c r="B716" s="164"/>
      <c r="C716" s="164"/>
      <c r="D716" s="164"/>
      <c r="E716" s="164"/>
      <c r="F716" s="164"/>
      <c r="G716" s="164"/>
      <c r="H716" s="164"/>
      <c r="I716" s="164"/>
      <c r="J716" s="164"/>
      <c r="K716" s="164"/>
      <c r="L716" s="164"/>
      <c r="M716" s="164"/>
      <c r="N716" s="164"/>
      <c r="O716" s="164"/>
      <c r="P716" s="164"/>
      <c r="Q716" s="164"/>
      <c r="R716" s="164"/>
      <c r="S716" s="164"/>
      <c r="T716" s="164"/>
      <c r="U716" s="164"/>
      <c r="V716" s="164"/>
      <c r="W716" s="164"/>
      <c r="X716" s="164"/>
      <c r="Y716" s="164"/>
      <c r="Z716" s="164"/>
    </row>
    <row r="717" ht="13.5" customHeight="1">
      <c r="A717" s="164"/>
      <c r="B717" s="164"/>
      <c r="C717" s="164"/>
      <c r="D717" s="164"/>
      <c r="E717" s="164"/>
      <c r="F717" s="164"/>
      <c r="G717" s="164"/>
      <c r="H717" s="164"/>
      <c r="I717" s="164"/>
      <c r="J717" s="164"/>
      <c r="K717" s="164"/>
      <c r="L717" s="164"/>
      <c r="M717" s="164"/>
      <c r="N717" s="164"/>
      <c r="O717" s="164"/>
      <c r="P717" s="164"/>
      <c r="Q717" s="164"/>
      <c r="R717" s="164"/>
      <c r="S717" s="164"/>
      <c r="T717" s="164"/>
      <c r="U717" s="164"/>
      <c r="V717" s="164"/>
      <c r="W717" s="164"/>
      <c r="X717" s="164"/>
      <c r="Y717" s="164"/>
      <c r="Z717" s="164"/>
    </row>
    <row r="718" ht="13.5" customHeight="1">
      <c r="A718" s="164"/>
      <c r="B718" s="164"/>
      <c r="C718" s="164"/>
      <c r="D718" s="164"/>
      <c r="E718" s="164"/>
      <c r="F718" s="164"/>
      <c r="G718" s="164"/>
      <c r="H718" s="164"/>
      <c r="I718" s="164"/>
      <c r="J718" s="164"/>
      <c r="K718" s="164"/>
      <c r="L718" s="164"/>
      <c r="M718" s="164"/>
      <c r="N718" s="164"/>
      <c r="O718" s="164"/>
      <c r="P718" s="164"/>
      <c r="Q718" s="164"/>
      <c r="R718" s="164"/>
      <c r="S718" s="164"/>
      <c r="T718" s="164"/>
      <c r="U718" s="164"/>
      <c r="V718" s="164"/>
      <c r="W718" s="164"/>
      <c r="X718" s="164"/>
      <c r="Y718" s="164"/>
      <c r="Z718" s="164"/>
    </row>
    <row r="719" ht="13.5" customHeight="1">
      <c r="A719" s="164"/>
      <c r="B719" s="164"/>
      <c r="C719" s="164"/>
      <c r="D719" s="164"/>
      <c r="E719" s="164"/>
      <c r="F719" s="164"/>
      <c r="G719" s="164"/>
      <c r="H719" s="164"/>
      <c r="I719" s="164"/>
      <c r="J719" s="164"/>
      <c r="K719" s="164"/>
      <c r="L719" s="164"/>
      <c r="M719" s="164"/>
      <c r="N719" s="164"/>
      <c r="O719" s="164"/>
      <c r="P719" s="164"/>
      <c r="Q719" s="164"/>
      <c r="R719" s="164"/>
      <c r="S719" s="164"/>
      <c r="T719" s="164"/>
      <c r="U719" s="164"/>
      <c r="V719" s="164"/>
      <c r="W719" s="164"/>
      <c r="X719" s="164"/>
      <c r="Y719" s="164"/>
      <c r="Z719" s="164"/>
    </row>
    <row r="720" ht="13.5" customHeight="1">
      <c r="A720" s="164"/>
      <c r="B720" s="164"/>
      <c r="C720" s="164"/>
      <c r="D720" s="164"/>
      <c r="E720" s="164"/>
      <c r="F720" s="164"/>
      <c r="G720" s="164"/>
      <c r="H720" s="164"/>
      <c r="I720" s="164"/>
      <c r="J720" s="164"/>
      <c r="K720" s="164"/>
      <c r="L720" s="164"/>
      <c r="M720" s="164"/>
      <c r="N720" s="164"/>
      <c r="O720" s="164"/>
      <c r="P720" s="164"/>
      <c r="Q720" s="164"/>
      <c r="R720" s="164"/>
      <c r="S720" s="164"/>
      <c r="T720" s="164"/>
      <c r="U720" s="164"/>
      <c r="V720" s="164"/>
      <c r="W720" s="164"/>
      <c r="X720" s="164"/>
      <c r="Y720" s="164"/>
      <c r="Z720" s="164"/>
    </row>
    <row r="721" ht="13.5" customHeight="1">
      <c r="A721" s="164"/>
      <c r="B721" s="164"/>
      <c r="C721" s="164"/>
      <c r="D721" s="164"/>
      <c r="E721" s="164"/>
      <c r="F721" s="164"/>
      <c r="G721" s="164"/>
      <c r="H721" s="164"/>
      <c r="I721" s="164"/>
      <c r="J721" s="164"/>
      <c r="K721" s="164"/>
      <c r="L721" s="164"/>
      <c r="M721" s="164"/>
      <c r="N721" s="164"/>
      <c r="O721" s="164"/>
      <c r="P721" s="164"/>
      <c r="Q721" s="164"/>
      <c r="R721" s="164"/>
      <c r="S721" s="164"/>
      <c r="T721" s="164"/>
      <c r="U721" s="164"/>
      <c r="V721" s="164"/>
      <c r="W721" s="164"/>
      <c r="X721" s="164"/>
      <c r="Y721" s="164"/>
      <c r="Z721" s="164"/>
    </row>
    <row r="722" ht="13.5" customHeight="1">
      <c r="A722" s="164"/>
      <c r="B722" s="164"/>
      <c r="C722" s="164"/>
      <c r="D722" s="164"/>
      <c r="E722" s="164"/>
      <c r="F722" s="164"/>
      <c r="G722" s="164"/>
      <c r="H722" s="164"/>
      <c r="I722" s="164"/>
      <c r="J722" s="164"/>
      <c r="K722" s="164"/>
      <c r="L722" s="164"/>
      <c r="M722" s="164"/>
      <c r="N722" s="164"/>
      <c r="O722" s="164"/>
      <c r="P722" s="164"/>
      <c r="Q722" s="164"/>
      <c r="R722" s="164"/>
      <c r="S722" s="164"/>
      <c r="T722" s="164"/>
      <c r="U722" s="164"/>
      <c r="V722" s="164"/>
      <c r="W722" s="164"/>
      <c r="X722" s="164"/>
      <c r="Y722" s="164"/>
      <c r="Z722" s="164"/>
    </row>
    <row r="723" ht="13.5" customHeight="1">
      <c r="A723" s="164"/>
      <c r="B723" s="164"/>
      <c r="C723" s="164"/>
      <c r="D723" s="164"/>
      <c r="E723" s="164"/>
      <c r="F723" s="164"/>
      <c r="G723" s="164"/>
      <c r="H723" s="164"/>
      <c r="I723" s="164"/>
      <c r="J723" s="164"/>
      <c r="K723" s="164"/>
      <c r="L723" s="164"/>
      <c r="M723" s="164"/>
      <c r="N723" s="164"/>
      <c r="O723" s="164"/>
      <c r="P723" s="164"/>
      <c r="Q723" s="164"/>
      <c r="R723" s="164"/>
      <c r="S723" s="164"/>
      <c r="T723" s="164"/>
      <c r="U723" s="164"/>
      <c r="V723" s="164"/>
      <c r="W723" s="164"/>
      <c r="X723" s="164"/>
      <c r="Y723" s="164"/>
      <c r="Z723" s="164"/>
    </row>
    <row r="724" ht="13.5" customHeight="1">
      <c r="A724" s="164"/>
      <c r="B724" s="164"/>
      <c r="C724" s="164"/>
      <c r="D724" s="164"/>
      <c r="E724" s="164"/>
      <c r="F724" s="164"/>
      <c r="G724" s="164"/>
      <c r="H724" s="164"/>
      <c r="I724" s="164"/>
      <c r="J724" s="164"/>
      <c r="K724" s="164"/>
      <c r="L724" s="164"/>
      <c r="M724" s="164"/>
      <c r="N724" s="164"/>
      <c r="O724" s="164"/>
      <c r="P724" s="164"/>
      <c r="Q724" s="164"/>
      <c r="R724" s="164"/>
      <c r="S724" s="164"/>
      <c r="T724" s="164"/>
      <c r="U724" s="164"/>
      <c r="V724" s="164"/>
      <c r="W724" s="164"/>
      <c r="X724" s="164"/>
      <c r="Y724" s="164"/>
      <c r="Z724" s="164"/>
    </row>
    <row r="725" ht="13.5" customHeight="1">
      <c r="A725" s="164"/>
      <c r="B725" s="164"/>
      <c r="C725" s="164"/>
      <c r="D725" s="164"/>
      <c r="E725" s="164"/>
      <c r="F725" s="164"/>
      <c r="G725" s="164"/>
      <c r="H725" s="164"/>
      <c r="I725" s="164"/>
      <c r="J725" s="164"/>
      <c r="K725" s="164"/>
      <c r="L725" s="164"/>
      <c r="M725" s="164"/>
      <c r="N725" s="164"/>
      <c r="O725" s="164"/>
      <c r="P725" s="164"/>
      <c r="Q725" s="164"/>
      <c r="R725" s="164"/>
      <c r="S725" s="164"/>
      <c r="T725" s="164"/>
      <c r="U725" s="164"/>
      <c r="V725" s="164"/>
      <c r="W725" s="164"/>
      <c r="X725" s="164"/>
      <c r="Y725" s="164"/>
      <c r="Z725" s="164"/>
    </row>
    <row r="726" ht="13.5" customHeight="1">
      <c r="A726" s="164"/>
      <c r="B726" s="164"/>
      <c r="C726" s="164"/>
      <c r="D726" s="164"/>
      <c r="E726" s="164"/>
      <c r="F726" s="164"/>
      <c r="G726" s="164"/>
      <c r="H726" s="164"/>
      <c r="I726" s="164"/>
      <c r="J726" s="164"/>
      <c r="K726" s="164"/>
      <c r="L726" s="164"/>
      <c r="M726" s="164"/>
      <c r="N726" s="164"/>
      <c r="O726" s="164"/>
      <c r="P726" s="164"/>
      <c r="Q726" s="164"/>
      <c r="R726" s="164"/>
      <c r="S726" s="164"/>
      <c r="T726" s="164"/>
      <c r="U726" s="164"/>
      <c r="V726" s="164"/>
      <c r="W726" s="164"/>
      <c r="X726" s="164"/>
      <c r="Y726" s="164"/>
      <c r="Z726" s="164"/>
    </row>
    <row r="727" ht="13.5" customHeight="1">
      <c r="A727" s="164"/>
      <c r="B727" s="164"/>
      <c r="C727" s="164"/>
      <c r="D727" s="164"/>
      <c r="E727" s="164"/>
      <c r="F727" s="164"/>
      <c r="G727" s="164"/>
      <c r="H727" s="164"/>
      <c r="I727" s="164"/>
      <c r="J727" s="164"/>
      <c r="K727" s="164"/>
      <c r="L727" s="164"/>
      <c r="M727" s="164"/>
      <c r="N727" s="164"/>
      <c r="O727" s="164"/>
      <c r="P727" s="164"/>
      <c r="Q727" s="164"/>
      <c r="R727" s="164"/>
      <c r="S727" s="164"/>
      <c r="T727" s="164"/>
      <c r="U727" s="164"/>
      <c r="V727" s="164"/>
      <c r="W727" s="164"/>
      <c r="X727" s="164"/>
      <c r="Y727" s="164"/>
      <c r="Z727" s="164"/>
    </row>
    <row r="728" ht="13.5" customHeight="1">
      <c r="A728" s="164"/>
      <c r="B728" s="164"/>
      <c r="C728" s="164"/>
      <c r="D728" s="164"/>
      <c r="E728" s="164"/>
      <c r="F728" s="164"/>
      <c r="G728" s="164"/>
      <c r="H728" s="164"/>
      <c r="I728" s="164"/>
      <c r="J728" s="164"/>
      <c r="K728" s="164"/>
      <c r="L728" s="164"/>
      <c r="M728" s="164"/>
      <c r="N728" s="164"/>
      <c r="O728" s="164"/>
      <c r="P728" s="164"/>
      <c r="Q728" s="164"/>
      <c r="R728" s="164"/>
      <c r="S728" s="164"/>
      <c r="T728" s="164"/>
      <c r="U728" s="164"/>
      <c r="V728" s="164"/>
      <c r="W728" s="164"/>
      <c r="X728" s="164"/>
      <c r="Y728" s="164"/>
      <c r="Z728" s="164"/>
    </row>
    <row r="729" ht="13.5" customHeight="1">
      <c r="A729" s="164"/>
      <c r="B729" s="164"/>
      <c r="C729" s="164"/>
      <c r="D729" s="164"/>
      <c r="E729" s="164"/>
      <c r="F729" s="164"/>
      <c r="G729" s="164"/>
      <c r="H729" s="164"/>
      <c r="I729" s="164"/>
      <c r="J729" s="164"/>
      <c r="K729" s="164"/>
      <c r="L729" s="164"/>
      <c r="M729" s="164"/>
      <c r="N729" s="164"/>
      <c r="O729" s="164"/>
      <c r="P729" s="164"/>
      <c r="Q729" s="164"/>
      <c r="R729" s="164"/>
      <c r="S729" s="164"/>
      <c r="T729" s="164"/>
      <c r="U729" s="164"/>
      <c r="V729" s="164"/>
      <c r="W729" s="164"/>
      <c r="X729" s="164"/>
      <c r="Y729" s="164"/>
      <c r="Z729" s="164"/>
    </row>
    <row r="730" ht="13.5" customHeight="1">
      <c r="A730" s="164"/>
      <c r="B730" s="164"/>
      <c r="C730" s="164"/>
      <c r="D730" s="164"/>
      <c r="E730" s="164"/>
      <c r="F730" s="164"/>
      <c r="G730" s="164"/>
      <c r="H730" s="164"/>
      <c r="I730" s="164"/>
      <c r="J730" s="164"/>
      <c r="K730" s="164"/>
      <c r="L730" s="164"/>
      <c r="M730" s="164"/>
      <c r="N730" s="164"/>
      <c r="O730" s="164"/>
      <c r="P730" s="164"/>
      <c r="Q730" s="164"/>
      <c r="R730" s="164"/>
      <c r="S730" s="164"/>
      <c r="T730" s="164"/>
      <c r="U730" s="164"/>
      <c r="V730" s="164"/>
      <c r="W730" s="164"/>
      <c r="X730" s="164"/>
      <c r="Y730" s="164"/>
      <c r="Z730" s="164"/>
    </row>
    <row r="731" ht="13.5" customHeight="1">
      <c r="A731" s="164"/>
      <c r="B731" s="164"/>
      <c r="C731" s="164"/>
      <c r="D731" s="164"/>
      <c r="E731" s="164"/>
      <c r="F731" s="164"/>
      <c r="G731" s="164"/>
      <c r="H731" s="164"/>
      <c r="I731" s="164"/>
      <c r="J731" s="164"/>
      <c r="K731" s="164"/>
      <c r="L731" s="164"/>
      <c r="M731" s="164"/>
      <c r="N731" s="164"/>
      <c r="O731" s="164"/>
      <c r="P731" s="164"/>
      <c r="Q731" s="164"/>
      <c r="R731" s="164"/>
      <c r="S731" s="164"/>
      <c r="T731" s="164"/>
      <c r="U731" s="164"/>
      <c r="V731" s="164"/>
      <c r="W731" s="164"/>
      <c r="X731" s="164"/>
      <c r="Y731" s="164"/>
      <c r="Z731" s="164"/>
    </row>
    <row r="732" ht="13.5" customHeight="1">
      <c r="A732" s="164"/>
      <c r="B732" s="164"/>
      <c r="C732" s="164"/>
      <c r="D732" s="164"/>
      <c r="E732" s="164"/>
      <c r="F732" s="164"/>
      <c r="G732" s="164"/>
      <c r="H732" s="164"/>
      <c r="I732" s="164"/>
      <c r="J732" s="164"/>
      <c r="K732" s="164"/>
      <c r="L732" s="164"/>
      <c r="M732" s="164"/>
      <c r="N732" s="164"/>
      <c r="O732" s="164"/>
      <c r="P732" s="164"/>
      <c r="Q732" s="164"/>
      <c r="R732" s="164"/>
      <c r="S732" s="164"/>
      <c r="T732" s="164"/>
      <c r="U732" s="164"/>
      <c r="V732" s="164"/>
      <c r="W732" s="164"/>
      <c r="X732" s="164"/>
      <c r="Y732" s="164"/>
      <c r="Z732" s="164"/>
    </row>
    <row r="733" ht="13.5" customHeight="1">
      <c r="A733" s="164"/>
      <c r="B733" s="164"/>
      <c r="C733" s="164"/>
      <c r="D733" s="164"/>
      <c r="E733" s="164"/>
      <c r="F733" s="164"/>
      <c r="G733" s="164"/>
      <c r="H733" s="164"/>
      <c r="I733" s="164"/>
      <c r="J733" s="164"/>
      <c r="K733" s="164"/>
      <c r="L733" s="164"/>
      <c r="M733" s="164"/>
      <c r="N733" s="164"/>
      <c r="O733" s="164"/>
      <c r="P733" s="164"/>
      <c r="Q733" s="164"/>
      <c r="R733" s="164"/>
      <c r="S733" s="164"/>
      <c r="T733" s="164"/>
      <c r="U733" s="164"/>
      <c r="V733" s="164"/>
      <c r="W733" s="164"/>
      <c r="X733" s="164"/>
      <c r="Y733" s="164"/>
      <c r="Z733" s="164"/>
    </row>
    <row r="734" ht="13.5" customHeight="1">
      <c r="A734" s="164"/>
      <c r="B734" s="164"/>
      <c r="C734" s="164"/>
      <c r="D734" s="164"/>
      <c r="E734" s="164"/>
      <c r="F734" s="164"/>
      <c r="G734" s="164"/>
      <c r="H734" s="164"/>
      <c r="I734" s="164"/>
      <c r="J734" s="164"/>
      <c r="K734" s="164"/>
      <c r="L734" s="164"/>
      <c r="M734" s="164"/>
      <c r="N734" s="164"/>
      <c r="O734" s="164"/>
      <c r="P734" s="164"/>
      <c r="Q734" s="164"/>
      <c r="R734" s="164"/>
      <c r="S734" s="164"/>
      <c r="T734" s="164"/>
      <c r="U734" s="164"/>
      <c r="V734" s="164"/>
      <c r="W734" s="164"/>
      <c r="X734" s="164"/>
      <c r="Y734" s="164"/>
      <c r="Z734" s="164"/>
    </row>
    <row r="735" ht="13.5" customHeight="1">
      <c r="A735" s="164"/>
      <c r="B735" s="164"/>
      <c r="C735" s="164"/>
      <c r="D735" s="164"/>
      <c r="E735" s="164"/>
      <c r="F735" s="164"/>
      <c r="G735" s="164"/>
      <c r="H735" s="164"/>
      <c r="I735" s="164"/>
      <c r="J735" s="164"/>
      <c r="K735" s="164"/>
      <c r="L735" s="164"/>
      <c r="M735" s="164"/>
      <c r="N735" s="164"/>
      <c r="O735" s="164"/>
      <c r="P735" s="164"/>
      <c r="Q735" s="164"/>
      <c r="R735" s="164"/>
      <c r="S735" s="164"/>
      <c r="T735" s="164"/>
      <c r="U735" s="164"/>
      <c r="V735" s="164"/>
      <c r="W735" s="164"/>
      <c r="X735" s="164"/>
      <c r="Y735" s="164"/>
      <c r="Z735" s="164"/>
    </row>
    <row r="736" ht="13.5" customHeight="1">
      <c r="A736" s="164"/>
      <c r="B736" s="164"/>
      <c r="C736" s="164"/>
      <c r="D736" s="164"/>
      <c r="E736" s="164"/>
      <c r="F736" s="164"/>
      <c r="G736" s="164"/>
      <c r="H736" s="164"/>
      <c r="I736" s="164"/>
      <c r="J736" s="164"/>
      <c r="K736" s="164"/>
      <c r="L736" s="164"/>
      <c r="M736" s="164"/>
      <c r="N736" s="164"/>
      <c r="O736" s="164"/>
      <c r="P736" s="164"/>
      <c r="Q736" s="164"/>
      <c r="R736" s="164"/>
      <c r="S736" s="164"/>
      <c r="T736" s="164"/>
      <c r="U736" s="164"/>
      <c r="V736" s="164"/>
      <c r="W736" s="164"/>
      <c r="X736" s="164"/>
      <c r="Y736" s="164"/>
      <c r="Z736" s="164"/>
    </row>
    <row r="737" ht="13.5" customHeight="1">
      <c r="A737" s="164"/>
      <c r="B737" s="164"/>
      <c r="C737" s="164"/>
      <c r="D737" s="164"/>
      <c r="E737" s="164"/>
      <c r="F737" s="164"/>
      <c r="G737" s="164"/>
      <c r="H737" s="164"/>
      <c r="I737" s="164"/>
      <c r="J737" s="164"/>
      <c r="K737" s="164"/>
      <c r="L737" s="164"/>
      <c r="M737" s="164"/>
      <c r="N737" s="164"/>
      <c r="O737" s="164"/>
      <c r="P737" s="164"/>
      <c r="Q737" s="164"/>
      <c r="R737" s="164"/>
      <c r="S737" s="164"/>
      <c r="T737" s="164"/>
      <c r="U737" s="164"/>
      <c r="V737" s="164"/>
      <c r="W737" s="164"/>
      <c r="X737" s="164"/>
      <c r="Y737" s="164"/>
      <c r="Z737" s="164"/>
    </row>
    <row r="738" ht="13.5" customHeight="1">
      <c r="A738" s="164"/>
      <c r="B738" s="164"/>
      <c r="C738" s="164"/>
      <c r="D738" s="164"/>
      <c r="E738" s="164"/>
      <c r="F738" s="164"/>
      <c r="G738" s="164"/>
      <c r="H738" s="164"/>
      <c r="I738" s="164"/>
      <c r="J738" s="164"/>
      <c r="K738" s="164"/>
      <c r="L738" s="164"/>
      <c r="M738" s="164"/>
      <c r="N738" s="164"/>
      <c r="O738" s="164"/>
      <c r="P738" s="164"/>
      <c r="Q738" s="164"/>
      <c r="R738" s="164"/>
      <c r="S738" s="164"/>
      <c r="T738" s="164"/>
      <c r="U738" s="164"/>
      <c r="V738" s="164"/>
      <c r="W738" s="164"/>
      <c r="X738" s="164"/>
      <c r="Y738" s="164"/>
      <c r="Z738" s="164"/>
    </row>
    <row r="739" ht="13.5" customHeight="1">
      <c r="A739" s="164"/>
      <c r="B739" s="164"/>
      <c r="C739" s="164"/>
      <c r="D739" s="164"/>
      <c r="E739" s="164"/>
      <c r="F739" s="164"/>
      <c r="G739" s="164"/>
      <c r="H739" s="164"/>
      <c r="I739" s="164"/>
      <c r="J739" s="164"/>
      <c r="K739" s="164"/>
      <c r="L739" s="164"/>
      <c r="M739" s="164"/>
      <c r="N739" s="164"/>
      <c r="O739" s="164"/>
      <c r="P739" s="164"/>
      <c r="Q739" s="164"/>
      <c r="R739" s="164"/>
      <c r="S739" s="164"/>
      <c r="T739" s="164"/>
      <c r="U739" s="164"/>
      <c r="V739" s="164"/>
      <c r="W739" s="164"/>
      <c r="X739" s="164"/>
      <c r="Y739" s="164"/>
      <c r="Z739" s="164"/>
    </row>
    <row r="740" ht="13.5" customHeight="1">
      <c r="A740" s="164"/>
      <c r="B740" s="164"/>
      <c r="C740" s="164"/>
      <c r="D740" s="164"/>
      <c r="E740" s="164"/>
      <c r="F740" s="164"/>
      <c r="G740" s="164"/>
      <c r="H740" s="164"/>
      <c r="I740" s="164"/>
      <c r="J740" s="164"/>
      <c r="K740" s="164"/>
      <c r="L740" s="164"/>
      <c r="M740" s="164"/>
      <c r="N740" s="164"/>
      <c r="O740" s="164"/>
      <c r="P740" s="164"/>
      <c r="Q740" s="164"/>
      <c r="R740" s="164"/>
      <c r="S740" s="164"/>
      <c r="T740" s="164"/>
      <c r="U740" s="164"/>
      <c r="V740" s="164"/>
      <c r="W740" s="164"/>
      <c r="X740" s="164"/>
      <c r="Y740" s="164"/>
      <c r="Z740" s="164"/>
    </row>
    <row r="741" ht="13.5" customHeight="1">
      <c r="A741" s="164"/>
      <c r="B741" s="164"/>
      <c r="C741" s="164"/>
      <c r="D741" s="164"/>
      <c r="E741" s="164"/>
      <c r="F741" s="164"/>
      <c r="G741" s="164"/>
      <c r="H741" s="164"/>
      <c r="I741" s="164"/>
      <c r="J741" s="164"/>
      <c r="K741" s="164"/>
      <c r="L741" s="164"/>
      <c r="M741" s="164"/>
      <c r="N741" s="164"/>
      <c r="O741" s="164"/>
      <c r="P741" s="164"/>
      <c r="Q741" s="164"/>
      <c r="R741" s="164"/>
      <c r="S741" s="164"/>
      <c r="T741" s="164"/>
      <c r="U741" s="164"/>
      <c r="V741" s="164"/>
      <c r="W741" s="164"/>
      <c r="X741" s="164"/>
      <c r="Y741" s="164"/>
      <c r="Z741" s="164"/>
    </row>
    <row r="742" ht="13.5" customHeight="1">
      <c r="A742" s="164"/>
      <c r="B742" s="164"/>
      <c r="C742" s="164"/>
      <c r="D742" s="164"/>
      <c r="E742" s="164"/>
      <c r="F742" s="164"/>
      <c r="G742" s="164"/>
      <c r="H742" s="164"/>
      <c r="I742" s="164"/>
      <c r="J742" s="164"/>
      <c r="K742" s="164"/>
      <c r="L742" s="164"/>
      <c r="M742" s="164"/>
      <c r="N742" s="164"/>
      <c r="O742" s="164"/>
      <c r="P742" s="164"/>
      <c r="Q742" s="164"/>
      <c r="R742" s="164"/>
      <c r="S742" s="164"/>
      <c r="T742" s="164"/>
      <c r="U742" s="164"/>
      <c r="V742" s="164"/>
      <c r="W742" s="164"/>
      <c r="X742" s="164"/>
      <c r="Y742" s="164"/>
      <c r="Z742" s="164"/>
    </row>
    <row r="743" ht="13.5" customHeight="1">
      <c r="A743" s="164"/>
      <c r="B743" s="164"/>
      <c r="C743" s="164"/>
      <c r="D743" s="164"/>
      <c r="E743" s="164"/>
      <c r="F743" s="164"/>
      <c r="G743" s="164"/>
      <c r="H743" s="164"/>
      <c r="I743" s="164"/>
      <c r="J743" s="164"/>
      <c r="K743" s="164"/>
      <c r="L743" s="164"/>
      <c r="M743" s="164"/>
      <c r="N743" s="164"/>
      <c r="O743" s="164"/>
      <c r="P743" s="164"/>
      <c r="Q743" s="164"/>
      <c r="R743" s="164"/>
      <c r="S743" s="164"/>
      <c r="T743" s="164"/>
      <c r="U743" s="164"/>
      <c r="V743" s="164"/>
      <c r="W743" s="164"/>
      <c r="X743" s="164"/>
      <c r="Y743" s="164"/>
      <c r="Z743" s="164"/>
    </row>
    <row r="744" ht="13.5" customHeight="1">
      <c r="A744" s="164"/>
      <c r="B744" s="164"/>
      <c r="C744" s="164"/>
      <c r="D744" s="164"/>
      <c r="E744" s="164"/>
      <c r="F744" s="164"/>
      <c r="G744" s="164"/>
      <c r="H744" s="164"/>
      <c r="I744" s="164"/>
      <c r="J744" s="164"/>
      <c r="K744" s="164"/>
      <c r="L744" s="164"/>
      <c r="M744" s="164"/>
      <c r="N744" s="164"/>
      <c r="O744" s="164"/>
      <c r="P744" s="164"/>
      <c r="Q744" s="164"/>
      <c r="R744" s="164"/>
      <c r="S744" s="164"/>
      <c r="T744" s="164"/>
      <c r="U744" s="164"/>
      <c r="V744" s="164"/>
      <c r="W744" s="164"/>
      <c r="X744" s="164"/>
      <c r="Y744" s="164"/>
      <c r="Z744" s="164"/>
    </row>
    <row r="745" ht="13.5" customHeight="1">
      <c r="A745" s="164"/>
      <c r="B745" s="164"/>
      <c r="C745" s="164"/>
      <c r="D745" s="164"/>
      <c r="E745" s="164"/>
      <c r="F745" s="164"/>
      <c r="G745" s="164"/>
      <c r="H745" s="164"/>
      <c r="I745" s="164"/>
      <c r="J745" s="164"/>
      <c r="K745" s="164"/>
      <c r="L745" s="164"/>
      <c r="M745" s="164"/>
      <c r="N745" s="164"/>
      <c r="O745" s="164"/>
      <c r="P745" s="164"/>
      <c r="Q745" s="164"/>
      <c r="R745" s="164"/>
      <c r="S745" s="164"/>
      <c r="T745" s="164"/>
      <c r="U745" s="164"/>
      <c r="V745" s="164"/>
      <c r="W745" s="164"/>
      <c r="X745" s="164"/>
      <c r="Y745" s="164"/>
      <c r="Z745" s="164"/>
    </row>
    <row r="746" ht="13.5" customHeight="1">
      <c r="A746" s="164"/>
      <c r="B746" s="164"/>
      <c r="C746" s="164"/>
      <c r="D746" s="164"/>
      <c r="E746" s="164"/>
      <c r="F746" s="164"/>
      <c r="G746" s="164"/>
      <c r="H746" s="164"/>
      <c r="I746" s="164"/>
      <c r="J746" s="164"/>
      <c r="K746" s="164"/>
      <c r="L746" s="164"/>
      <c r="M746" s="164"/>
      <c r="N746" s="164"/>
      <c r="O746" s="164"/>
      <c r="P746" s="164"/>
      <c r="Q746" s="164"/>
      <c r="R746" s="164"/>
      <c r="S746" s="164"/>
      <c r="T746" s="164"/>
      <c r="U746" s="164"/>
      <c r="V746" s="164"/>
      <c r="W746" s="164"/>
      <c r="X746" s="164"/>
      <c r="Y746" s="164"/>
      <c r="Z746" s="164"/>
    </row>
    <row r="747" ht="13.5" customHeight="1">
      <c r="A747" s="164"/>
      <c r="B747" s="164"/>
      <c r="C747" s="164"/>
      <c r="D747" s="164"/>
      <c r="E747" s="164"/>
      <c r="F747" s="164"/>
      <c r="G747" s="164"/>
      <c r="H747" s="164"/>
      <c r="I747" s="164"/>
      <c r="J747" s="164"/>
      <c r="K747" s="164"/>
      <c r="L747" s="164"/>
      <c r="M747" s="164"/>
      <c r="N747" s="164"/>
      <c r="O747" s="164"/>
      <c r="P747" s="164"/>
      <c r="Q747" s="164"/>
      <c r="R747" s="164"/>
      <c r="S747" s="164"/>
      <c r="T747" s="164"/>
      <c r="U747" s="164"/>
      <c r="V747" s="164"/>
      <c r="W747" s="164"/>
      <c r="X747" s="164"/>
      <c r="Y747" s="164"/>
      <c r="Z747" s="164"/>
    </row>
    <row r="748" ht="13.5" customHeight="1">
      <c r="A748" s="164"/>
      <c r="B748" s="164"/>
      <c r="C748" s="164"/>
      <c r="D748" s="164"/>
      <c r="E748" s="164"/>
      <c r="F748" s="164"/>
      <c r="G748" s="164"/>
      <c r="H748" s="164"/>
      <c r="I748" s="164"/>
      <c r="J748" s="164"/>
      <c r="K748" s="164"/>
      <c r="L748" s="164"/>
      <c r="M748" s="164"/>
      <c r="N748" s="164"/>
      <c r="O748" s="164"/>
      <c r="P748" s="164"/>
      <c r="Q748" s="164"/>
      <c r="R748" s="164"/>
      <c r="S748" s="164"/>
      <c r="T748" s="164"/>
      <c r="U748" s="164"/>
      <c r="V748" s="164"/>
      <c r="W748" s="164"/>
      <c r="X748" s="164"/>
      <c r="Y748" s="164"/>
      <c r="Z748" s="164"/>
    </row>
    <row r="749" ht="13.5" customHeight="1">
      <c r="A749" s="164"/>
      <c r="B749" s="164"/>
      <c r="C749" s="164"/>
      <c r="D749" s="164"/>
      <c r="E749" s="164"/>
      <c r="F749" s="164"/>
      <c r="G749" s="164"/>
      <c r="H749" s="164"/>
      <c r="I749" s="164"/>
      <c r="J749" s="164"/>
      <c r="K749" s="164"/>
      <c r="L749" s="164"/>
      <c r="M749" s="164"/>
      <c r="N749" s="164"/>
      <c r="O749" s="164"/>
      <c r="P749" s="164"/>
      <c r="Q749" s="164"/>
      <c r="R749" s="164"/>
      <c r="S749" s="164"/>
      <c r="T749" s="164"/>
      <c r="U749" s="164"/>
      <c r="V749" s="164"/>
      <c r="W749" s="164"/>
      <c r="X749" s="164"/>
      <c r="Y749" s="164"/>
      <c r="Z749" s="164"/>
    </row>
    <row r="750" ht="13.5" customHeight="1">
      <c r="A750" s="164"/>
      <c r="B750" s="164"/>
      <c r="C750" s="164"/>
      <c r="D750" s="164"/>
      <c r="E750" s="164"/>
      <c r="F750" s="164"/>
      <c r="G750" s="164"/>
      <c r="H750" s="164"/>
      <c r="I750" s="164"/>
      <c r="J750" s="164"/>
      <c r="K750" s="164"/>
      <c r="L750" s="164"/>
      <c r="M750" s="164"/>
      <c r="N750" s="164"/>
      <c r="O750" s="164"/>
      <c r="P750" s="164"/>
      <c r="Q750" s="164"/>
      <c r="R750" s="164"/>
      <c r="S750" s="164"/>
      <c r="T750" s="164"/>
      <c r="U750" s="164"/>
      <c r="V750" s="164"/>
      <c r="W750" s="164"/>
      <c r="X750" s="164"/>
      <c r="Y750" s="164"/>
      <c r="Z750" s="164"/>
    </row>
    <row r="751" ht="13.5" customHeight="1">
      <c r="A751" s="164"/>
      <c r="B751" s="164"/>
      <c r="C751" s="164"/>
      <c r="D751" s="164"/>
      <c r="E751" s="164"/>
      <c r="F751" s="164"/>
      <c r="G751" s="164"/>
      <c r="H751" s="164"/>
      <c r="I751" s="164"/>
      <c r="J751" s="164"/>
      <c r="K751" s="164"/>
      <c r="L751" s="164"/>
      <c r="M751" s="164"/>
      <c r="N751" s="164"/>
      <c r="O751" s="164"/>
      <c r="P751" s="164"/>
      <c r="Q751" s="164"/>
      <c r="R751" s="164"/>
      <c r="S751" s="164"/>
      <c r="T751" s="164"/>
      <c r="U751" s="164"/>
      <c r="V751" s="164"/>
      <c r="W751" s="164"/>
      <c r="X751" s="164"/>
      <c r="Y751" s="164"/>
      <c r="Z751" s="164"/>
    </row>
    <row r="752" ht="13.5" customHeight="1">
      <c r="A752" s="164"/>
      <c r="B752" s="164"/>
      <c r="C752" s="164"/>
      <c r="D752" s="164"/>
      <c r="E752" s="164"/>
      <c r="F752" s="164"/>
      <c r="G752" s="164"/>
      <c r="H752" s="164"/>
      <c r="I752" s="164"/>
      <c r="J752" s="164"/>
      <c r="K752" s="164"/>
      <c r="L752" s="164"/>
      <c r="M752" s="164"/>
      <c r="N752" s="164"/>
      <c r="O752" s="164"/>
      <c r="P752" s="164"/>
      <c r="Q752" s="164"/>
      <c r="R752" s="164"/>
      <c r="S752" s="164"/>
      <c r="T752" s="164"/>
      <c r="U752" s="164"/>
      <c r="V752" s="164"/>
      <c r="W752" s="164"/>
      <c r="X752" s="164"/>
      <c r="Y752" s="164"/>
      <c r="Z752" s="164"/>
    </row>
    <row r="753" ht="13.5" customHeight="1">
      <c r="A753" s="164"/>
      <c r="B753" s="164"/>
      <c r="C753" s="164"/>
      <c r="D753" s="164"/>
      <c r="E753" s="164"/>
      <c r="F753" s="164"/>
      <c r="G753" s="164"/>
      <c r="H753" s="164"/>
      <c r="I753" s="164"/>
      <c r="J753" s="164"/>
      <c r="K753" s="164"/>
      <c r="L753" s="164"/>
      <c r="M753" s="164"/>
      <c r="N753" s="164"/>
      <c r="O753" s="164"/>
      <c r="P753" s="164"/>
      <c r="Q753" s="164"/>
      <c r="R753" s="164"/>
      <c r="S753" s="164"/>
      <c r="T753" s="164"/>
      <c r="U753" s="164"/>
      <c r="V753" s="164"/>
      <c r="W753" s="164"/>
      <c r="X753" s="164"/>
      <c r="Y753" s="164"/>
      <c r="Z753" s="164"/>
    </row>
    <row r="754" ht="13.5" customHeight="1">
      <c r="A754" s="164"/>
      <c r="B754" s="164"/>
      <c r="C754" s="164"/>
      <c r="D754" s="164"/>
      <c r="E754" s="164"/>
      <c r="F754" s="164"/>
      <c r="G754" s="164"/>
      <c r="H754" s="164"/>
      <c r="I754" s="164"/>
      <c r="J754" s="164"/>
      <c r="K754" s="164"/>
      <c r="L754" s="164"/>
      <c r="M754" s="164"/>
      <c r="N754" s="164"/>
      <c r="O754" s="164"/>
      <c r="P754" s="164"/>
      <c r="Q754" s="164"/>
      <c r="R754" s="164"/>
      <c r="S754" s="164"/>
      <c r="T754" s="164"/>
      <c r="U754" s="164"/>
      <c r="V754" s="164"/>
      <c r="W754" s="164"/>
      <c r="X754" s="164"/>
      <c r="Y754" s="164"/>
      <c r="Z754" s="164"/>
    </row>
    <row r="755" ht="13.5" customHeight="1">
      <c r="A755" s="164"/>
      <c r="B755" s="164"/>
      <c r="C755" s="164"/>
      <c r="D755" s="164"/>
      <c r="E755" s="164"/>
      <c r="F755" s="164"/>
      <c r="G755" s="164"/>
      <c r="H755" s="164"/>
      <c r="I755" s="164"/>
      <c r="J755" s="164"/>
      <c r="K755" s="164"/>
      <c r="L755" s="164"/>
      <c r="M755" s="164"/>
      <c r="N755" s="164"/>
      <c r="O755" s="164"/>
      <c r="P755" s="164"/>
      <c r="Q755" s="164"/>
      <c r="R755" s="164"/>
      <c r="S755" s="164"/>
      <c r="T755" s="164"/>
      <c r="U755" s="164"/>
      <c r="V755" s="164"/>
      <c r="W755" s="164"/>
      <c r="X755" s="164"/>
      <c r="Y755" s="164"/>
      <c r="Z755" s="164"/>
    </row>
    <row r="756" ht="13.5" customHeight="1">
      <c r="A756" s="164"/>
      <c r="B756" s="164"/>
      <c r="C756" s="164"/>
      <c r="D756" s="164"/>
      <c r="E756" s="164"/>
      <c r="F756" s="164"/>
      <c r="G756" s="164"/>
      <c r="H756" s="164"/>
      <c r="I756" s="164"/>
      <c r="J756" s="164"/>
      <c r="K756" s="164"/>
      <c r="L756" s="164"/>
      <c r="M756" s="164"/>
      <c r="N756" s="164"/>
      <c r="O756" s="164"/>
      <c r="P756" s="164"/>
      <c r="Q756" s="164"/>
      <c r="R756" s="164"/>
      <c r="S756" s="164"/>
      <c r="T756" s="164"/>
      <c r="U756" s="164"/>
      <c r="V756" s="164"/>
      <c r="W756" s="164"/>
      <c r="X756" s="164"/>
      <c r="Y756" s="164"/>
      <c r="Z756" s="164"/>
    </row>
    <row r="757" ht="13.5" customHeight="1">
      <c r="A757" s="164"/>
      <c r="B757" s="164"/>
      <c r="C757" s="164"/>
      <c r="D757" s="164"/>
      <c r="E757" s="164"/>
      <c r="F757" s="164"/>
      <c r="G757" s="164"/>
      <c r="H757" s="164"/>
      <c r="I757" s="164"/>
      <c r="J757" s="164"/>
      <c r="K757" s="164"/>
      <c r="L757" s="164"/>
      <c r="M757" s="164"/>
      <c r="N757" s="164"/>
      <c r="O757" s="164"/>
      <c r="P757" s="164"/>
      <c r="Q757" s="164"/>
      <c r="R757" s="164"/>
      <c r="S757" s="164"/>
      <c r="T757" s="164"/>
      <c r="U757" s="164"/>
      <c r="V757" s="164"/>
      <c r="W757" s="164"/>
      <c r="X757" s="164"/>
      <c r="Y757" s="164"/>
      <c r="Z757" s="164"/>
    </row>
    <row r="758" ht="13.5" customHeight="1">
      <c r="A758" s="164"/>
      <c r="B758" s="164"/>
      <c r="C758" s="164"/>
      <c r="D758" s="164"/>
      <c r="E758" s="164"/>
      <c r="F758" s="164"/>
      <c r="G758" s="164"/>
      <c r="H758" s="164"/>
      <c r="I758" s="164"/>
      <c r="J758" s="164"/>
      <c r="K758" s="164"/>
      <c r="L758" s="164"/>
      <c r="M758" s="164"/>
      <c r="N758" s="164"/>
      <c r="O758" s="164"/>
      <c r="P758" s="164"/>
      <c r="Q758" s="164"/>
      <c r="R758" s="164"/>
      <c r="S758" s="164"/>
      <c r="T758" s="164"/>
      <c r="U758" s="164"/>
      <c r="V758" s="164"/>
      <c r="W758" s="164"/>
      <c r="X758" s="164"/>
      <c r="Y758" s="164"/>
      <c r="Z758" s="164"/>
    </row>
    <row r="759" ht="13.5" customHeight="1">
      <c r="A759" s="164"/>
      <c r="B759" s="164"/>
      <c r="C759" s="164"/>
      <c r="D759" s="164"/>
      <c r="E759" s="164"/>
      <c r="F759" s="164"/>
      <c r="G759" s="164"/>
      <c r="H759" s="164"/>
      <c r="I759" s="164"/>
      <c r="J759" s="164"/>
      <c r="K759" s="164"/>
      <c r="L759" s="164"/>
      <c r="M759" s="164"/>
      <c r="N759" s="164"/>
      <c r="O759" s="164"/>
      <c r="P759" s="164"/>
      <c r="Q759" s="164"/>
      <c r="R759" s="164"/>
      <c r="S759" s="164"/>
      <c r="T759" s="164"/>
      <c r="U759" s="164"/>
      <c r="V759" s="164"/>
      <c r="W759" s="164"/>
      <c r="X759" s="164"/>
      <c r="Y759" s="164"/>
      <c r="Z759" s="164"/>
    </row>
    <row r="760" ht="13.5" customHeight="1">
      <c r="A760" s="164"/>
      <c r="B760" s="164"/>
      <c r="C760" s="164"/>
      <c r="D760" s="164"/>
      <c r="E760" s="164"/>
      <c r="F760" s="164"/>
      <c r="G760" s="164"/>
      <c r="H760" s="164"/>
      <c r="I760" s="164"/>
      <c r="J760" s="164"/>
      <c r="K760" s="164"/>
      <c r="L760" s="164"/>
      <c r="M760" s="164"/>
      <c r="N760" s="164"/>
      <c r="O760" s="164"/>
      <c r="P760" s="164"/>
      <c r="Q760" s="164"/>
      <c r="R760" s="164"/>
      <c r="S760" s="164"/>
      <c r="T760" s="164"/>
      <c r="U760" s="164"/>
      <c r="V760" s="164"/>
      <c r="W760" s="164"/>
      <c r="X760" s="164"/>
      <c r="Y760" s="164"/>
      <c r="Z760" s="164"/>
    </row>
    <row r="761" ht="13.5" customHeight="1">
      <c r="A761" s="164"/>
      <c r="B761" s="164"/>
      <c r="C761" s="164"/>
      <c r="D761" s="164"/>
      <c r="E761" s="164"/>
      <c r="F761" s="164"/>
      <c r="G761" s="164"/>
      <c r="H761" s="164"/>
      <c r="I761" s="164"/>
      <c r="J761" s="164"/>
      <c r="K761" s="164"/>
      <c r="L761" s="164"/>
      <c r="M761" s="164"/>
      <c r="N761" s="164"/>
      <c r="O761" s="164"/>
      <c r="P761" s="164"/>
      <c r="Q761" s="164"/>
      <c r="R761" s="164"/>
      <c r="S761" s="164"/>
      <c r="T761" s="164"/>
      <c r="U761" s="164"/>
      <c r="V761" s="164"/>
      <c r="W761" s="164"/>
      <c r="X761" s="164"/>
      <c r="Y761" s="164"/>
      <c r="Z761" s="164"/>
    </row>
    <row r="762" ht="13.5" customHeight="1">
      <c r="A762" s="164"/>
      <c r="B762" s="164"/>
      <c r="C762" s="164"/>
      <c r="D762" s="164"/>
      <c r="E762" s="164"/>
      <c r="F762" s="164"/>
      <c r="G762" s="164"/>
      <c r="H762" s="164"/>
      <c r="I762" s="164"/>
      <c r="J762" s="164"/>
      <c r="K762" s="164"/>
      <c r="L762" s="164"/>
      <c r="M762" s="164"/>
      <c r="N762" s="164"/>
      <c r="O762" s="164"/>
      <c r="P762" s="164"/>
      <c r="Q762" s="164"/>
      <c r="R762" s="164"/>
      <c r="S762" s="164"/>
      <c r="T762" s="164"/>
      <c r="U762" s="164"/>
      <c r="V762" s="164"/>
      <c r="W762" s="164"/>
      <c r="X762" s="164"/>
      <c r="Y762" s="164"/>
      <c r="Z762" s="164"/>
    </row>
    <row r="763" ht="13.5" customHeight="1">
      <c r="A763" s="164"/>
      <c r="B763" s="164"/>
      <c r="C763" s="164"/>
      <c r="D763" s="164"/>
      <c r="E763" s="164"/>
      <c r="F763" s="164"/>
      <c r="G763" s="164"/>
      <c r="H763" s="164"/>
      <c r="I763" s="164"/>
      <c r="J763" s="164"/>
      <c r="K763" s="164"/>
      <c r="L763" s="164"/>
      <c r="M763" s="164"/>
      <c r="N763" s="164"/>
      <c r="O763" s="164"/>
      <c r="P763" s="164"/>
      <c r="Q763" s="164"/>
      <c r="R763" s="164"/>
      <c r="S763" s="164"/>
      <c r="T763" s="164"/>
      <c r="U763" s="164"/>
      <c r="V763" s="164"/>
      <c r="W763" s="164"/>
      <c r="X763" s="164"/>
      <c r="Y763" s="164"/>
      <c r="Z763" s="164"/>
    </row>
    <row r="764" ht="13.5" customHeight="1">
      <c r="A764" s="164"/>
      <c r="B764" s="164"/>
      <c r="C764" s="164"/>
      <c r="D764" s="164"/>
      <c r="E764" s="164"/>
      <c r="F764" s="164"/>
      <c r="G764" s="164"/>
      <c r="H764" s="164"/>
      <c r="I764" s="164"/>
      <c r="J764" s="164"/>
      <c r="K764" s="164"/>
      <c r="L764" s="164"/>
      <c r="M764" s="164"/>
      <c r="N764" s="164"/>
      <c r="O764" s="164"/>
      <c r="P764" s="164"/>
      <c r="Q764" s="164"/>
      <c r="R764" s="164"/>
      <c r="S764" s="164"/>
      <c r="T764" s="164"/>
      <c r="U764" s="164"/>
      <c r="V764" s="164"/>
      <c r="W764" s="164"/>
      <c r="X764" s="164"/>
      <c r="Y764" s="164"/>
      <c r="Z764" s="164"/>
    </row>
    <row r="765" ht="13.5" customHeight="1">
      <c r="A765" s="164"/>
      <c r="B765" s="164"/>
      <c r="C765" s="164"/>
      <c r="D765" s="164"/>
      <c r="E765" s="164"/>
      <c r="F765" s="164"/>
      <c r="G765" s="164"/>
      <c r="H765" s="164"/>
      <c r="I765" s="164"/>
      <c r="J765" s="164"/>
      <c r="K765" s="164"/>
      <c r="L765" s="164"/>
      <c r="M765" s="164"/>
      <c r="N765" s="164"/>
      <c r="O765" s="164"/>
      <c r="P765" s="164"/>
      <c r="Q765" s="164"/>
      <c r="R765" s="164"/>
      <c r="S765" s="164"/>
      <c r="T765" s="164"/>
      <c r="U765" s="164"/>
      <c r="V765" s="164"/>
      <c r="W765" s="164"/>
      <c r="X765" s="164"/>
      <c r="Y765" s="164"/>
      <c r="Z765" s="164"/>
    </row>
    <row r="766" ht="13.5" customHeight="1">
      <c r="A766" s="164"/>
      <c r="B766" s="164"/>
      <c r="C766" s="164"/>
      <c r="D766" s="164"/>
      <c r="E766" s="164"/>
      <c r="F766" s="164"/>
      <c r="G766" s="164"/>
      <c r="H766" s="164"/>
      <c r="I766" s="164"/>
      <c r="J766" s="164"/>
      <c r="K766" s="164"/>
      <c r="L766" s="164"/>
      <c r="M766" s="164"/>
      <c r="N766" s="164"/>
      <c r="O766" s="164"/>
      <c r="P766" s="164"/>
      <c r="Q766" s="164"/>
      <c r="R766" s="164"/>
      <c r="S766" s="164"/>
      <c r="T766" s="164"/>
      <c r="U766" s="164"/>
      <c r="V766" s="164"/>
      <c r="W766" s="164"/>
      <c r="X766" s="164"/>
      <c r="Y766" s="164"/>
      <c r="Z766" s="164"/>
    </row>
    <row r="767" ht="13.5" customHeight="1">
      <c r="A767" s="164"/>
      <c r="B767" s="164"/>
      <c r="C767" s="164"/>
      <c r="D767" s="164"/>
      <c r="E767" s="164"/>
      <c r="F767" s="164"/>
      <c r="G767" s="164"/>
      <c r="H767" s="164"/>
      <c r="I767" s="164"/>
      <c r="J767" s="164"/>
      <c r="K767" s="164"/>
      <c r="L767" s="164"/>
      <c r="M767" s="164"/>
      <c r="N767" s="164"/>
      <c r="O767" s="164"/>
      <c r="P767" s="164"/>
      <c r="Q767" s="164"/>
      <c r="R767" s="164"/>
      <c r="S767" s="164"/>
      <c r="T767" s="164"/>
      <c r="U767" s="164"/>
      <c r="V767" s="164"/>
      <c r="W767" s="164"/>
      <c r="X767" s="164"/>
      <c r="Y767" s="164"/>
      <c r="Z767" s="164"/>
    </row>
    <row r="768" ht="13.5" customHeight="1">
      <c r="A768" s="164"/>
      <c r="B768" s="164"/>
      <c r="C768" s="164"/>
      <c r="D768" s="164"/>
      <c r="E768" s="164"/>
      <c r="F768" s="164"/>
      <c r="G768" s="164"/>
      <c r="H768" s="164"/>
      <c r="I768" s="164"/>
      <c r="J768" s="164"/>
      <c r="K768" s="164"/>
      <c r="L768" s="164"/>
      <c r="M768" s="164"/>
      <c r="N768" s="164"/>
      <c r="O768" s="164"/>
      <c r="P768" s="164"/>
      <c r="Q768" s="164"/>
      <c r="R768" s="164"/>
      <c r="S768" s="164"/>
      <c r="T768" s="164"/>
      <c r="U768" s="164"/>
      <c r="V768" s="164"/>
      <c r="W768" s="164"/>
      <c r="X768" s="164"/>
      <c r="Y768" s="164"/>
      <c r="Z768" s="164"/>
    </row>
    <row r="769" ht="13.5" customHeight="1">
      <c r="A769" s="164"/>
      <c r="B769" s="164"/>
      <c r="C769" s="164"/>
      <c r="D769" s="164"/>
      <c r="E769" s="164"/>
      <c r="F769" s="164"/>
      <c r="G769" s="164"/>
      <c r="H769" s="164"/>
      <c r="I769" s="164"/>
      <c r="J769" s="164"/>
      <c r="K769" s="164"/>
      <c r="L769" s="164"/>
      <c r="M769" s="164"/>
      <c r="N769" s="164"/>
      <c r="O769" s="164"/>
      <c r="P769" s="164"/>
      <c r="Q769" s="164"/>
      <c r="R769" s="164"/>
      <c r="S769" s="164"/>
      <c r="T769" s="164"/>
      <c r="U769" s="164"/>
      <c r="V769" s="164"/>
      <c r="W769" s="164"/>
      <c r="X769" s="164"/>
      <c r="Y769" s="164"/>
      <c r="Z769" s="164"/>
    </row>
    <row r="770" ht="13.5" customHeight="1">
      <c r="A770" s="164"/>
      <c r="B770" s="164"/>
      <c r="C770" s="164"/>
      <c r="D770" s="164"/>
      <c r="E770" s="164"/>
      <c r="F770" s="164"/>
      <c r="G770" s="164"/>
      <c r="H770" s="164"/>
      <c r="I770" s="164"/>
      <c r="J770" s="164"/>
      <c r="K770" s="164"/>
      <c r="L770" s="164"/>
      <c r="M770" s="164"/>
      <c r="N770" s="164"/>
      <c r="O770" s="164"/>
      <c r="P770" s="164"/>
      <c r="Q770" s="164"/>
      <c r="R770" s="164"/>
      <c r="S770" s="164"/>
      <c r="T770" s="164"/>
      <c r="U770" s="164"/>
      <c r="V770" s="164"/>
      <c r="W770" s="164"/>
      <c r="X770" s="164"/>
      <c r="Y770" s="164"/>
      <c r="Z770" s="164"/>
    </row>
    <row r="771" ht="13.5" customHeight="1">
      <c r="A771" s="164"/>
      <c r="B771" s="164"/>
      <c r="C771" s="164"/>
      <c r="D771" s="164"/>
      <c r="E771" s="164"/>
      <c r="F771" s="164"/>
      <c r="G771" s="164"/>
      <c r="H771" s="164"/>
      <c r="I771" s="164"/>
      <c r="J771" s="164"/>
      <c r="K771" s="164"/>
      <c r="L771" s="164"/>
      <c r="M771" s="164"/>
      <c r="N771" s="164"/>
      <c r="O771" s="164"/>
      <c r="P771" s="164"/>
      <c r="Q771" s="164"/>
      <c r="R771" s="164"/>
      <c r="S771" s="164"/>
      <c r="T771" s="164"/>
      <c r="U771" s="164"/>
      <c r="V771" s="164"/>
      <c r="W771" s="164"/>
      <c r="X771" s="164"/>
      <c r="Y771" s="164"/>
      <c r="Z771" s="164"/>
    </row>
    <row r="772" ht="13.5" customHeight="1">
      <c r="A772" s="164"/>
      <c r="B772" s="164"/>
      <c r="C772" s="164"/>
      <c r="D772" s="164"/>
      <c r="E772" s="164"/>
      <c r="F772" s="164"/>
      <c r="G772" s="164"/>
      <c r="H772" s="164"/>
      <c r="I772" s="164"/>
      <c r="J772" s="164"/>
      <c r="K772" s="164"/>
      <c r="L772" s="164"/>
      <c r="M772" s="164"/>
      <c r="N772" s="164"/>
      <c r="O772" s="164"/>
      <c r="P772" s="164"/>
      <c r="Q772" s="164"/>
      <c r="R772" s="164"/>
      <c r="S772" s="164"/>
      <c r="T772" s="164"/>
      <c r="U772" s="164"/>
      <c r="V772" s="164"/>
      <c r="W772" s="164"/>
      <c r="X772" s="164"/>
      <c r="Y772" s="164"/>
      <c r="Z772" s="164"/>
    </row>
    <row r="773" ht="13.5" customHeight="1">
      <c r="A773" s="164"/>
      <c r="B773" s="164"/>
      <c r="C773" s="164"/>
      <c r="D773" s="164"/>
      <c r="E773" s="164"/>
      <c r="F773" s="164"/>
      <c r="G773" s="164"/>
      <c r="H773" s="164"/>
      <c r="I773" s="164"/>
      <c r="J773" s="164"/>
      <c r="K773" s="164"/>
      <c r="L773" s="164"/>
      <c r="M773" s="164"/>
      <c r="N773" s="164"/>
      <c r="O773" s="164"/>
      <c r="P773" s="164"/>
      <c r="Q773" s="164"/>
      <c r="R773" s="164"/>
      <c r="S773" s="164"/>
      <c r="T773" s="164"/>
      <c r="U773" s="164"/>
      <c r="V773" s="164"/>
      <c r="W773" s="164"/>
      <c r="X773" s="164"/>
      <c r="Y773" s="164"/>
      <c r="Z773" s="164"/>
    </row>
    <row r="774" ht="13.5" customHeight="1">
      <c r="A774" s="164"/>
      <c r="B774" s="164"/>
      <c r="C774" s="164"/>
      <c r="D774" s="164"/>
      <c r="E774" s="164"/>
      <c r="F774" s="164"/>
      <c r="G774" s="164"/>
      <c r="H774" s="164"/>
      <c r="I774" s="164"/>
      <c r="J774" s="164"/>
      <c r="K774" s="164"/>
      <c r="L774" s="164"/>
      <c r="M774" s="164"/>
      <c r="N774" s="164"/>
      <c r="O774" s="164"/>
      <c r="P774" s="164"/>
      <c r="Q774" s="164"/>
      <c r="R774" s="164"/>
      <c r="S774" s="164"/>
      <c r="T774" s="164"/>
      <c r="U774" s="164"/>
      <c r="V774" s="164"/>
      <c r="W774" s="164"/>
      <c r="X774" s="164"/>
      <c r="Y774" s="164"/>
      <c r="Z774" s="164"/>
    </row>
    <row r="775" ht="13.5" customHeight="1">
      <c r="A775" s="164"/>
      <c r="B775" s="164"/>
      <c r="C775" s="164"/>
      <c r="D775" s="164"/>
      <c r="E775" s="164"/>
      <c r="F775" s="164"/>
      <c r="G775" s="164"/>
      <c r="H775" s="164"/>
      <c r="I775" s="164"/>
      <c r="J775" s="164"/>
      <c r="K775" s="164"/>
      <c r="L775" s="164"/>
      <c r="M775" s="164"/>
      <c r="N775" s="164"/>
      <c r="O775" s="164"/>
      <c r="P775" s="164"/>
      <c r="Q775" s="164"/>
      <c r="R775" s="164"/>
      <c r="S775" s="164"/>
      <c r="T775" s="164"/>
      <c r="U775" s="164"/>
      <c r="V775" s="164"/>
      <c r="W775" s="164"/>
      <c r="X775" s="164"/>
      <c r="Y775" s="164"/>
      <c r="Z775" s="164"/>
    </row>
    <row r="776" ht="13.5" customHeight="1">
      <c r="A776" s="164"/>
      <c r="B776" s="164"/>
      <c r="C776" s="164"/>
      <c r="D776" s="164"/>
      <c r="E776" s="164"/>
      <c r="F776" s="164"/>
      <c r="G776" s="164"/>
      <c r="H776" s="164"/>
      <c r="I776" s="164"/>
      <c r="J776" s="164"/>
      <c r="K776" s="164"/>
      <c r="L776" s="164"/>
      <c r="M776" s="164"/>
      <c r="N776" s="164"/>
      <c r="O776" s="164"/>
      <c r="P776" s="164"/>
      <c r="Q776" s="164"/>
      <c r="R776" s="164"/>
      <c r="S776" s="164"/>
      <c r="T776" s="164"/>
      <c r="U776" s="164"/>
      <c r="V776" s="164"/>
      <c r="W776" s="164"/>
      <c r="X776" s="164"/>
      <c r="Y776" s="164"/>
      <c r="Z776" s="164"/>
    </row>
    <row r="777" ht="13.5" customHeight="1">
      <c r="A777" s="164"/>
      <c r="B777" s="164"/>
      <c r="C777" s="164"/>
      <c r="D777" s="164"/>
      <c r="E777" s="164"/>
      <c r="F777" s="164"/>
      <c r="G777" s="164"/>
      <c r="H777" s="164"/>
      <c r="I777" s="164"/>
      <c r="J777" s="164"/>
      <c r="K777" s="164"/>
      <c r="L777" s="164"/>
      <c r="M777" s="164"/>
      <c r="N777" s="164"/>
      <c r="O777" s="164"/>
      <c r="P777" s="164"/>
      <c r="Q777" s="164"/>
      <c r="R777" s="164"/>
      <c r="S777" s="164"/>
      <c r="T777" s="164"/>
      <c r="U777" s="164"/>
      <c r="V777" s="164"/>
      <c r="W777" s="164"/>
      <c r="X777" s="164"/>
      <c r="Y777" s="164"/>
      <c r="Z777" s="164"/>
    </row>
    <row r="778" ht="13.5" customHeight="1">
      <c r="A778" s="164"/>
      <c r="B778" s="164"/>
      <c r="C778" s="164"/>
      <c r="D778" s="164"/>
      <c r="E778" s="164"/>
      <c r="F778" s="164"/>
      <c r="G778" s="164"/>
      <c r="H778" s="164"/>
      <c r="I778" s="164"/>
      <c r="J778" s="164"/>
      <c r="K778" s="164"/>
      <c r="L778" s="164"/>
      <c r="M778" s="164"/>
      <c r="N778" s="164"/>
      <c r="O778" s="164"/>
      <c r="P778" s="164"/>
      <c r="Q778" s="164"/>
      <c r="R778" s="164"/>
      <c r="S778" s="164"/>
      <c r="T778" s="164"/>
      <c r="U778" s="164"/>
      <c r="V778" s="164"/>
      <c r="W778" s="164"/>
      <c r="X778" s="164"/>
      <c r="Y778" s="164"/>
      <c r="Z778" s="164"/>
    </row>
    <row r="779" ht="13.5" customHeight="1">
      <c r="A779" s="164"/>
      <c r="B779" s="164"/>
      <c r="C779" s="164"/>
      <c r="D779" s="164"/>
      <c r="E779" s="164"/>
      <c r="F779" s="164"/>
      <c r="G779" s="164"/>
      <c r="H779" s="164"/>
      <c r="I779" s="164"/>
      <c r="J779" s="164"/>
      <c r="K779" s="164"/>
      <c r="L779" s="164"/>
      <c r="M779" s="164"/>
      <c r="N779" s="164"/>
      <c r="O779" s="164"/>
      <c r="P779" s="164"/>
      <c r="Q779" s="164"/>
      <c r="R779" s="164"/>
      <c r="S779" s="164"/>
      <c r="T779" s="164"/>
      <c r="U779" s="164"/>
      <c r="V779" s="164"/>
      <c r="W779" s="164"/>
      <c r="X779" s="164"/>
      <c r="Y779" s="164"/>
      <c r="Z779" s="164"/>
    </row>
    <row r="780" ht="13.5" customHeight="1">
      <c r="A780" s="164"/>
      <c r="B780" s="164"/>
      <c r="C780" s="164"/>
      <c r="D780" s="164"/>
      <c r="E780" s="164"/>
      <c r="F780" s="164"/>
      <c r="G780" s="164"/>
      <c r="H780" s="164"/>
      <c r="I780" s="164"/>
      <c r="J780" s="164"/>
      <c r="K780" s="164"/>
      <c r="L780" s="164"/>
      <c r="M780" s="164"/>
      <c r="N780" s="164"/>
      <c r="O780" s="164"/>
      <c r="P780" s="164"/>
      <c r="Q780" s="164"/>
      <c r="R780" s="164"/>
      <c r="S780" s="164"/>
      <c r="T780" s="164"/>
      <c r="U780" s="164"/>
      <c r="V780" s="164"/>
      <c r="W780" s="164"/>
      <c r="X780" s="164"/>
      <c r="Y780" s="164"/>
      <c r="Z780" s="164"/>
    </row>
    <row r="781" ht="13.5" customHeight="1">
      <c r="A781" s="164"/>
      <c r="B781" s="164"/>
      <c r="C781" s="164"/>
      <c r="D781" s="164"/>
      <c r="E781" s="164"/>
      <c r="F781" s="164"/>
      <c r="G781" s="164"/>
      <c r="H781" s="164"/>
      <c r="I781" s="164"/>
      <c r="J781" s="164"/>
      <c r="K781" s="164"/>
      <c r="L781" s="164"/>
      <c r="M781" s="164"/>
      <c r="N781" s="164"/>
      <c r="O781" s="164"/>
      <c r="P781" s="164"/>
      <c r="Q781" s="164"/>
      <c r="R781" s="164"/>
      <c r="S781" s="164"/>
      <c r="T781" s="164"/>
      <c r="U781" s="164"/>
      <c r="V781" s="164"/>
      <c r="W781" s="164"/>
      <c r="X781" s="164"/>
      <c r="Y781" s="164"/>
      <c r="Z781" s="164"/>
    </row>
    <row r="782" ht="13.5" customHeight="1">
      <c r="A782" s="164"/>
      <c r="B782" s="164"/>
      <c r="C782" s="164"/>
      <c r="D782" s="164"/>
      <c r="E782" s="164"/>
      <c r="F782" s="164"/>
      <c r="G782" s="164"/>
      <c r="H782" s="164"/>
      <c r="I782" s="164"/>
      <c r="J782" s="164"/>
      <c r="K782" s="164"/>
      <c r="L782" s="164"/>
      <c r="M782" s="164"/>
      <c r="N782" s="164"/>
      <c r="O782" s="164"/>
      <c r="P782" s="164"/>
      <c r="Q782" s="164"/>
      <c r="R782" s="164"/>
      <c r="S782" s="164"/>
      <c r="T782" s="164"/>
      <c r="U782" s="164"/>
      <c r="V782" s="164"/>
      <c r="W782" s="164"/>
      <c r="X782" s="164"/>
      <c r="Y782" s="164"/>
      <c r="Z782" s="164"/>
    </row>
    <row r="783" ht="13.5" customHeight="1">
      <c r="A783" s="164"/>
      <c r="B783" s="164"/>
      <c r="C783" s="164"/>
      <c r="D783" s="164"/>
      <c r="E783" s="164"/>
      <c r="F783" s="164"/>
      <c r="G783" s="164"/>
      <c r="H783" s="164"/>
      <c r="I783" s="164"/>
      <c r="J783" s="164"/>
      <c r="K783" s="164"/>
      <c r="L783" s="164"/>
      <c r="M783" s="164"/>
      <c r="N783" s="164"/>
      <c r="O783" s="164"/>
      <c r="P783" s="164"/>
      <c r="Q783" s="164"/>
      <c r="R783" s="164"/>
      <c r="S783" s="164"/>
      <c r="T783" s="164"/>
      <c r="U783" s="164"/>
      <c r="V783" s="164"/>
      <c r="W783" s="164"/>
      <c r="X783" s="164"/>
      <c r="Y783" s="164"/>
      <c r="Z783" s="164"/>
    </row>
    <row r="784" ht="13.5" customHeight="1">
      <c r="A784" s="164"/>
      <c r="B784" s="164"/>
      <c r="C784" s="164"/>
      <c r="D784" s="164"/>
      <c r="E784" s="164"/>
      <c r="F784" s="164"/>
      <c r="G784" s="164"/>
      <c r="H784" s="164"/>
      <c r="I784" s="164"/>
      <c r="J784" s="164"/>
      <c r="K784" s="164"/>
      <c r="L784" s="164"/>
      <c r="M784" s="164"/>
      <c r="N784" s="164"/>
      <c r="O784" s="164"/>
      <c r="P784" s="164"/>
      <c r="Q784" s="164"/>
      <c r="R784" s="164"/>
      <c r="S784" s="164"/>
      <c r="T784" s="164"/>
      <c r="U784" s="164"/>
      <c r="V784" s="164"/>
      <c r="W784" s="164"/>
      <c r="X784" s="164"/>
      <c r="Y784" s="164"/>
      <c r="Z784" s="164"/>
    </row>
    <row r="785" ht="13.5" customHeight="1">
      <c r="A785" s="164"/>
      <c r="B785" s="164"/>
      <c r="C785" s="164"/>
      <c r="D785" s="164"/>
      <c r="E785" s="164"/>
      <c r="F785" s="164"/>
      <c r="G785" s="164"/>
      <c r="H785" s="164"/>
      <c r="I785" s="164"/>
      <c r="J785" s="164"/>
      <c r="K785" s="164"/>
      <c r="L785" s="164"/>
      <c r="M785" s="164"/>
      <c r="N785" s="164"/>
      <c r="O785" s="164"/>
      <c r="P785" s="164"/>
      <c r="Q785" s="164"/>
      <c r="R785" s="164"/>
      <c r="S785" s="164"/>
      <c r="T785" s="164"/>
      <c r="U785" s="164"/>
      <c r="V785" s="164"/>
      <c r="W785" s="164"/>
      <c r="X785" s="164"/>
      <c r="Y785" s="164"/>
      <c r="Z785" s="164"/>
    </row>
    <row r="786" ht="13.5" customHeight="1">
      <c r="A786" s="164"/>
      <c r="B786" s="164"/>
      <c r="C786" s="164"/>
      <c r="D786" s="164"/>
      <c r="E786" s="164"/>
      <c r="F786" s="164"/>
      <c r="G786" s="164"/>
      <c r="H786" s="164"/>
      <c r="I786" s="164"/>
      <c r="J786" s="164"/>
      <c r="K786" s="164"/>
      <c r="L786" s="164"/>
      <c r="M786" s="164"/>
      <c r="N786" s="164"/>
      <c r="O786" s="164"/>
      <c r="P786" s="164"/>
      <c r="Q786" s="164"/>
      <c r="R786" s="164"/>
      <c r="S786" s="164"/>
      <c r="T786" s="164"/>
      <c r="U786" s="164"/>
      <c r="V786" s="164"/>
      <c r="W786" s="164"/>
      <c r="X786" s="164"/>
      <c r="Y786" s="164"/>
      <c r="Z786" s="164"/>
    </row>
    <row r="787" ht="13.5" customHeight="1">
      <c r="A787" s="164"/>
      <c r="B787" s="164"/>
      <c r="C787" s="164"/>
      <c r="D787" s="164"/>
      <c r="E787" s="164"/>
      <c r="F787" s="164"/>
      <c r="G787" s="164"/>
      <c r="H787" s="164"/>
      <c r="I787" s="164"/>
      <c r="J787" s="164"/>
      <c r="K787" s="164"/>
      <c r="L787" s="164"/>
      <c r="M787" s="164"/>
      <c r="N787" s="164"/>
      <c r="O787" s="164"/>
      <c r="P787" s="164"/>
      <c r="Q787" s="164"/>
      <c r="R787" s="164"/>
      <c r="S787" s="164"/>
      <c r="T787" s="164"/>
      <c r="U787" s="164"/>
      <c r="V787" s="164"/>
      <c r="W787" s="164"/>
      <c r="X787" s="164"/>
      <c r="Y787" s="164"/>
      <c r="Z787" s="164"/>
    </row>
    <row r="788" ht="13.5" customHeight="1">
      <c r="A788" s="164"/>
      <c r="B788" s="164"/>
      <c r="C788" s="164"/>
      <c r="D788" s="164"/>
      <c r="E788" s="164"/>
      <c r="F788" s="164"/>
      <c r="G788" s="164"/>
      <c r="H788" s="164"/>
      <c r="I788" s="164"/>
      <c r="J788" s="164"/>
      <c r="K788" s="164"/>
      <c r="L788" s="164"/>
      <c r="M788" s="164"/>
      <c r="N788" s="164"/>
      <c r="O788" s="164"/>
      <c r="P788" s="164"/>
      <c r="Q788" s="164"/>
      <c r="R788" s="164"/>
      <c r="S788" s="164"/>
      <c r="T788" s="164"/>
      <c r="U788" s="164"/>
      <c r="V788" s="164"/>
      <c r="W788" s="164"/>
      <c r="X788" s="164"/>
      <c r="Y788" s="164"/>
      <c r="Z788" s="164"/>
    </row>
    <row r="789" ht="13.5" customHeight="1">
      <c r="A789" s="164"/>
      <c r="B789" s="164"/>
      <c r="C789" s="164"/>
      <c r="D789" s="164"/>
      <c r="E789" s="164"/>
      <c r="F789" s="164"/>
      <c r="G789" s="164"/>
      <c r="H789" s="164"/>
      <c r="I789" s="164"/>
      <c r="J789" s="164"/>
      <c r="K789" s="164"/>
      <c r="L789" s="164"/>
      <c r="M789" s="164"/>
      <c r="N789" s="164"/>
      <c r="O789" s="164"/>
      <c r="P789" s="164"/>
      <c r="Q789" s="164"/>
      <c r="R789" s="164"/>
      <c r="S789" s="164"/>
      <c r="T789" s="164"/>
      <c r="U789" s="164"/>
      <c r="V789" s="164"/>
      <c r="W789" s="164"/>
      <c r="X789" s="164"/>
      <c r="Y789" s="164"/>
      <c r="Z789" s="164"/>
    </row>
    <row r="790" ht="13.5" customHeight="1">
      <c r="A790" s="164"/>
      <c r="B790" s="164"/>
      <c r="C790" s="164"/>
      <c r="D790" s="164"/>
      <c r="E790" s="164"/>
      <c r="F790" s="164"/>
      <c r="G790" s="164"/>
      <c r="H790" s="164"/>
      <c r="I790" s="164"/>
      <c r="J790" s="164"/>
      <c r="K790" s="164"/>
      <c r="L790" s="164"/>
      <c r="M790" s="164"/>
      <c r="N790" s="164"/>
      <c r="O790" s="164"/>
      <c r="P790" s="164"/>
      <c r="Q790" s="164"/>
      <c r="R790" s="164"/>
      <c r="S790" s="164"/>
      <c r="T790" s="164"/>
      <c r="U790" s="164"/>
      <c r="V790" s="164"/>
      <c r="W790" s="164"/>
      <c r="X790" s="164"/>
      <c r="Y790" s="164"/>
      <c r="Z790" s="164"/>
    </row>
    <row r="791" ht="13.5" customHeight="1">
      <c r="A791" s="164"/>
      <c r="B791" s="164"/>
      <c r="C791" s="164"/>
      <c r="D791" s="164"/>
      <c r="E791" s="164"/>
      <c r="F791" s="164"/>
      <c r="G791" s="164"/>
      <c r="H791" s="164"/>
      <c r="I791" s="164"/>
      <c r="J791" s="164"/>
      <c r="K791" s="164"/>
      <c r="L791" s="164"/>
      <c r="M791" s="164"/>
      <c r="N791" s="164"/>
      <c r="O791" s="164"/>
      <c r="P791" s="164"/>
      <c r="Q791" s="164"/>
      <c r="R791" s="164"/>
      <c r="S791" s="164"/>
      <c r="T791" s="164"/>
      <c r="U791" s="164"/>
      <c r="V791" s="164"/>
      <c r="W791" s="164"/>
      <c r="X791" s="164"/>
      <c r="Y791" s="164"/>
      <c r="Z791" s="164"/>
    </row>
    <row r="792" ht="13.5" customHeight="1">
      <c r="A792" s="164"/>
      <c r="B792" s="164"/>
      <c r="C792" s="164"/>
      <c r="D792" s="164"/>
      <c r="E792" s="164"/>
      <c r="F792" s="164"/>
      <c r="G792" s="164"/>
      <c r="H792" s="164"/>
      <c r="I792" s="164"/>
      <c r="J792" s="164"/>
      <c r="K792" s="164"/>
      <c r="L792" s="164"/>
      <c r="M792" s="164"/>
      <c r="N792" s="164"/>
      <c r="O792" s="164"/>
      <c r="P792" s="164"/>
      <c r="Q792" s="164"/>
      <c r="R792" s="164"/>
      <c r="S792" s="164"/>
      <c r="T792" s="164"/>
      <c r="U792" s="164"/>
      <c r="V792" s="164"/>
      <c r="W792" s="164"/>
      <c r="X792" s="164"/>
      <c r="Y792" s="164"/>
      <c r="Z792" s="164"/>
    </row>
    <row r="793" ht="13.5" customHeight="1">
      <c r="A793" s="164"/>
      <c r="B793" s="164"/>
      <c r="C793" s="164"/>
      <c r="D793" s="164"/>
      <c r="E793" s="164"/>
      <c r="F793" s="164"/>
      <c r="G793" s="164"/>
      <c r="H793" s="164"/>
      <c r="I793" s="164"/>
      <c r="J793" s="164"/>
      <c r="K793" s="164"/>
      <c r="L793" s="164"/>
      <c r="M793" s="164"/>
      <c r="N793" s="164"/>
      <c r="O793" s="164"/>
      <c r="P793" s="164"/>
      <c r="Q793" s="164"/>
      <c r="R793" s="164"/>
      <c r="S793" s="164"/>
      <c r="T793" s="164"/>
      <c r="U793" s="164"/>
      <c r="V793" s="164"/>
      <c r="W793" s="164"/>
      <c r="X793" s="164"/>
      <c r="Y793" s="164"/>
      <c r="Z793" s="164"/>
    </row>
    <row r="794" ht="13.5" customHeight="1">
      <c r="A794" s="164"/>
      <c r="B794" s="164"/>
      <c r="C794" s="164"/>
      <c r="D794" s="164"/>
      <c r="E794" s="164"/>
      <c r="F794" s="164"/>
      <c r="G794" s="164"/>
      <c r="H794" s="164"/>
      <c r="I794" s="164"/>
      <c r="J794" s="164"/>
      <c r="K794" s="164"/>
      <c r="L794" s="164"/>
      <c r="M794" s="164"/>
      <c r="N794" s="164"/>
      <c r="O794" s="164"/>
      <c r="P794" s="164"/>
      <c r="Q794" s="164"/>
      <c r="R794" s="164"/>
      <c r="S794" s="164"/>
      <c r="T794" s="164"/>
      <c r="U794" s="164"/>
      <c r="V794" s="164"/>
      <c r="W794" s="164"/>
      <c r="X794" s="164"/>
      <c r="Y794" s="164"/>
      <c r="Z794" s="164"/>
    </row>
    <row r="795" ht="13.5" customHeight="1">
      <c r="A795" s="164"/>
      <c r="B795" s="164"/>
      <c r="C795" s="164"/>
      <c r="D795" s="164"/>
      <c r="E795" s="164"/>
      <c r="F795" s="164"/>
      <c r="G795" s="164"/>
      <c r="H795" s="164"/>
      <c r="I795" s="164"/>
      <c r="J795" s="164"/>
      <c r="K795" s="164"/>
      <c r="L795" s="164"/>
      <c r="M795" s="164"/>
      <c r="N795" s="164"/>
      <c r="O795" s="164"/>
      <c r="P795" s="164"/>
      <c r="Q795" s="164"/>
      <c r="R795" s="164"/>
      <c r="S795" s="164"/>
      <c r="T795" s="164"/>
      <c r="U795" s="164"/>
      <c r="V795" s="164"/>
      <c r="W795" s="164"/>
      <c r="X795" s="164"/>
      <c r="Y795" s="164"/>
      <c r="Z795" s="164"/>
    </row>
    <row r="796" ht="13.5" customHeight="1">
      <c r="A796" s="164"/>
      <c r="B796" s="164"/>
      <c r="C796" s="164"/>
      <c r="D796" s="164"/>
      <c r="E796" s="164"/>
      <c r="F796" s="164"/>
      <c r="G796" s="164"/>
      <c r="H796" s="164"/>
      <c r="I796" s="164"/>
      <c r="J796" s="164"/>
      <c r="K796" s="164"/>
      <c r="L796" s="164"/>
      <c r="M796" s="164"/>
      <c r="N796" s="164"/>
      <c r="O796" s="164"/>
      <c r="P796" s="164"/>
      <c r="Q796" s="164"/>
      <c r="R796" s="164"/>
      <c r="S796" s="164"/>
      <c r="T796" s="164"/>
      <c r="U796" s="164"/>
      <c r="V796" s="164"/>
      <c r="W796" s="164"/>
      <c r="X796" s="164"/>
      <c r="Y796" s="164"/>
      <c r="Z796" s="164"/>
    </row>
    <row r="797" ht="13.5" customHeight="1">
      <c r="A797" s="164"/>
      <c r="B797" s="164"/>
      <c r="C797" s="164"/>
      <c r="D797" s="164"/>
      <c r="E797" s="164"/>
      <c r="F797" s="164"/>
      <c r="G797" s="164"/>
      <c r="H797" s="164"/>
      <c r="I797" s="164"/>
      <c r="J797" s="164"/>
      <c r="K797" s="164"/>
      <c r="L797" s="164"/>
      <c r="M797" s="164"/>
      <c r="N797" s="164"/>
      <c r="O797" s="164"/>
      <c r="P797" s="164"/>
      <c r="Q797" s="164"/>
      <c r="R797" s="164"/>
      <c r="S797" s="164"/>
      <c r="T797" s="164"/>
      <c r="U797" s="164"/>
      <c r="V797" s="164"/>
      <c r="W797" s="164"/>
      <c r="X797" s="164"/>
      <c r="Y797" s="164"/>
      <c r="Z797" s="164"/>
    </row>
    <row r="798" ht="13.5" customHeight="1">
      <c r="A798" s="164"/>
      <c r="B798" s="164"/>
      <c r="C798" s="164"/>
      <c r="D798" s="164"/>
      <c r="E798" s="164"/>
      <c r="F798" s="164"/>
      <c r="G798" s="164"/>
      <c r="H798" s="164"/>
      <c r="I798" s="164"/>
      <c r="J798" s="164"/>
      <c r="K798" s="164"/>
      <c r="L798" s="164"/>
      <c r="M798" s="164"/>
      <c r="N798" s="164"/>
      <c r="O798" s="164"/>
      <c r="P798" s="164"/>
      <c r="Q798" s="164"/>
      <c r="R798" s="164"/>
      <c r="S798" s="164"/>
      <c r="T798" s="164"/>
      <c r="U798" s="164"/>
      <c r="V798" s="164"/>
      <c r="W798" s="164"/>
      <c r="X798" s="164"/>
      <c r="Y798" s="164"/>
      <c r="Z798" s="164"/>
    </row>
    <row r="799" ht="13.5" customHeight="1">
      <c r="A799" s="164"/>
      <c r="B799" s="164"/>
      <c r="C799" s="164"/>
      <c r="D799" s="164"/>
      <c r="E799" s="164"/>
      <c r="F799" s="164"/>
      <c r="G799" s="164"/>
      <c r="H799" s="164"/>
      <c r="I799" s="164"/>
      <c r="J799" s="164"/>
      <c r="K799" s="164"/>
      <c r="L799" s="164"/>
      <c r="M799" s="164"/>
      <c r="N799" s="164"/>
      <c r="O799" s="164"/>
      <c r="P799" s="164"/>
      <c r="Q799" s="164"/>
      <c r="R799" s="164"/>
      <c r="S799" s="164"/>
      <c r="T799" s="164"/>
      <c r="U799" s="164"/>
      <c r="V799" s="164"/>
      <c r="W799" s="164"/>
      <c r="X799" s="164"/>
      <c r="Y799" s="164"/>
      <c r="Z799" s="164"/>
    </row>
    <row r="800" ht="13.5" customHeight="1">
      <c r="A800" s="164"/>
      <c r="B800" s="164"/>
      <c r="C800" s="164"/>
      <c r="D800" s="164"/>
      <c r="E800" s="164"/>
      <c r="F800" s="164"/>
      <c r="G800" s="164"/>
      <c r="H800" s="164"/>
      <c r="I800" s="164"/>
      <c r="J800" s="164"/>
      <c r="K800" s="164"/>
      <c r="L800" s="164"/>
      <c r="M800" s="164"/>
      <c r="N800" s="164"/>
      <c r="O800" s="164"/>
      <c r="P800" s="164"/>
      <c r="Q800" s="164"/>
      <c r="R800" s="164"/>
      <c r="S800" s="164"/>
      <c r="T800" s="164"/>
      <c r="U800" s="164"/>
      <c r="V800" s="164"/>
      <c r="W800" s="164"/>
      <c r="X800" s="164"/>
      <c r="Y800" s="164"/>
      <c r="Z800" s="164"/>
    </row>
    <row r="801" ht="13.5" customHeight="1">
      <c r="A801" s="164"/>
      <c r="B801" s="164"/>
      <c r="C801" s="164"/>
      <c r="D801" s="164"/>
      <c r="E801" s="164"/>
      <c r="F801" s="164"/>
      <c r="G801" s="164"/>
      <c r="H801" s="164"/>
      <c r="I801" s="164"/>
      <c r="J801" s="164"/>
      <c r="K801" s="164"/>
      <c r="L801" s="164"/>
      <c r="M801" s="164"/>
      <c r="N801" s="164"/>
      <c r="O801" s="164"/>
      <c r="P801" s="164"/>
      <c r="Q801" s="164"/>
      <c r="R801" s="164"/>
      <c r="S801" s="164"/>
      <c r="T801" s="164"/>
      <c r="U801" s="164"/>
      <c r="V801" s="164"/>
      <c r="W801" s="164"/>
      <c r="X801" s="164"/>
      <c r="Y801" s="164"/>
      <c r="Z801" s="164"/>
    </row>
    <row r="802" ht="13.5" customHeight="1">
      <c r="A802" s="164"/>
      <c r="B802" s="164"/>
      <c r="C802" s="164"/>
      <c r="D802" s="164"/>
      <c r="E802" s="164"/>
      <c r="F802" s="164"/>
      <c r="G802" s="164"/>
      <c r="H802" s="164"/>
      <c r="I802" s="164"/>
      <c r="J802" s="164"/>
      <c r="K802" s="164"/>
      <c r="L802" s="164"/>
      <c r="M802" s="164"/>
      <c r="N802" s="164"/>
      <c r="O802" s="164"/>
      <c r="P802" s="164"/>
      <c r="Q802" s="164"/>
      <c r="R802" s="164"/>
      <c r="S802" s="164"/>
      <c r="T802" s="164"/>
      <c r="U802" s="164"/>
      <c r="V802" s="164"/>
      <c r="W802" s="164"/>
      <c r="X802" s="164"/>
      <c r="Y802" s="164"/>
      <c r="Z802" s="164"/>
    </row>
    <row r="803" ht="13.5" customHeight="1">
      <c r="A803" s="164"/>
      <c r="B803" s="164"/>
      <c r="C803" s="164"/>
      <c r="D803" s="164"/>
      <c r="E803" s="164"/>
      <c r="F803" s="164"/>
      <c r="G803" s="164"/>
      <c r="H803" s="164"/>
      <c r="I803" s="164"/>
      <c r="J803" s="164"/>
      <c r="K803" s="164"/>
      <c r="L803" s="164"/>
      <c r="M803" s="164"/>
      <c r="N803" s="164"/>
      <c r="O803" s="164"/>
      <c r="P803" s="164"/>
      <c r="Q803" s="164"/>
      <c r="R803" s="164"/>
      <c r="S803" s="164"/>
      <c r="T803" s="164"/>
      <c r="U803" s="164"/>
      <c r="V803" s="164"/>
      <c r="W803" s="164"/>
      <c r="X803" s="164"/>
      <c r="Y803" s="164"/>
      <c r="Z803" s="164"/>
    </row>
    <row r="804" ht="13.5" customHeight="1">
      <c r="A804" s="164"/>
      <c r="B804" s="164"/>
      <c r="C804" s="164"/>
      <c r="D804" s="164"/>
      <c r="E804" s="164"/>
      <c r="F804" s="164"/>
      <c r="G804" s="164"/>
      <c r="H804" s="164"/>
      <c r="I804" s="164"/>
      <c r="J804" s="164"/>
      <c r="K804" s="164"/>
      <c r="L804" s="164"/>
      <c r="M804" s="164"/>
      <c r="N804" s="164"/>
      <c r="O804" s="164"/>
      <c r="P804" s="164"/>
      <c r="Q804" s="164"/>
      <c r="R804" s="164"/>
      <c r="S804" s="164"/>
      <c r="T804" s="164"/>
      <c r="U804" s="164"/>
      <c r="V804" s="164"/>
      <c r="W804" s="164"/>
      <c r="X804" s="164"/>
      <c r="Y804" s="164"/>
      <c r="Z804" s="164"/>
    </row>
    <row r="805" ht="13.5" customHeight="1">
      <c r="A805" s="164"/>
      <c r="B805" s="164"/>
      <c r="C805" s="164"/>
      <c r="D805" s="164"/>
      <c r="E805" s="164"/>
      <c r="F805" s="164"/>
      <c r="G805" s="164"/>
      <c r="H805" s="164"/>
      <c r="I805" s="164"/>
      <c r="J805" s="164"/>
      <c r="K805" s="164"/>
      <c r="L805" s="164"/>
      <c r="M805" s="164"/>
      <c r="N805" s="164"/>
      <c r="O805" s="164"/>
      <c r="P805" s="164"/>
      <c r="Q805" s="164"/>
      <c r="R805" s="164"/>
      <c r="S805" s="164"/>
      <c r="T805" s="164"/>
      <c r="U805" s="164"/>
      <c r="V805" s="164"/>
      <c r="W805" s="164"/>
      <c r="X805" s="164"/>
      <c r="Y805" s="164"/>
      <c r="Z805" s="164"/>
    </row>
    <row r="806" ht="13.5" customHeight="1">
      <c r="A806" s="164"/>
      <c r="B806" s="164"/>
      <c r="C806" s="164"/>
      <c r="D806" s="164"/>
      <c r="E806" s="164"/>
      <c r="F806" s="164"/>
      <c r="G806" s="164"/>
      <c r="H806" s="164"/>
      <c r="I806" s="164"/>
      <c r="J806" s="164"/>
      <c r="K806" s="164"/>
      <c r="L806" s="164"/>
      <c r="M806" s="164"/>
      <c r="N806" s="164"/>
      <c r="O806" s="164"/>
      <c r="P806" s="164"/>
      <c r="Q806" s="164"/>
      <c r="R806" s="164"/>
      <c r="S806" s="164"/>
      <c r="T806" s="164"/>
      <c r="U806" s="164"/>
      <c r="V806" s="164"/>
      <c r="W806" s="164"/>
      <c r="X806" s="164"/>
      <c r="Y806" s="164"/>
      <c r="Z806" s="164"/>
    </row>
    <row r="807" ht="13.5" customHeight="1">
      <c r="A807" s="164"/>
      <c r="B807" s="164"/>
      <c r="C807" s="164"/>
      <c r="D807" s="164"/>
      <c r="E807" s="164"/>
      <c r="F807" s="164"/>
      <c r="G807" s="164"/>
      <c r="H807" s="164"/>
      <c r="I807" s="164"/>
      <c r="J807" s="164"/>
      <c r="K807" s="164"/>
      <c r="L807" s="164"/>
      <c r="M807" s="164"/>
      <c r="N807" s="164"/>
      <c r="O807" s="164"/>
      <c r="P807" s="164"/>
      <c r="Q807" s="164"/>
      <c r="R807" s="164"/>
      <c r="S807" s="164"/>
      <c r="T807" s="164"/>
      <c r="U807" s="164"/>
      <c r="V807" s="164"/>
      <c r="W807" s="164"/>
      <c r="X807" s="164"/>
      <c r="Y807" s="164"/>
      <c r="Z807" s="164"/>
    </row>
    <row r="808" ht="13.5" customHeight="1">
      <c r="A808" s="164"/>
      <c r="B808" s="164"/>
      <c r="C808" s="164"/>
      <c r="D808" s="164"/>
      <c r="E808" s="164"/>
      <c r="F808" s="164"/>
      <c r="G808" s="164"/>
      <c r="H808" s="164"/>
      <c r="I808" s="164"/>
      <c r="J808" s="164"/>
      <c r="K808" s="164"/>
      <c r="L808" s="164"/>
      <c r="M808" s="164"/>
      <c r="N808" s="164"/>
      <c r="O808" s="164"/>
      <c r="P808" s="164"/>
      <c r="Q808" s="164"/>
      <c r="R808" s="164"/>
      <c r="S808" s="164"/>
      <c r="T808" s="164"/>
      <c r="U808" s="164"/>
      <c r="V808" s="164"/>
      <c r="W808" s="164"/>
      <c r="X808" s="164"/>
      <c r="Y808" s="164"/>
      <c r="Z808" s="164"/>
    </row>
    <row r="809" ht="13.5" customHeight="1">
      <c r="A809" s="164"/>
      <c r="B809" s="164"/>
      <c r="C809" s="164"/>
      <c r="D809" s="164"/>
      <c r="E809" s="164"/>
      <c r="F809" s="164"/>
      <c r="G809" s="164"/>
      <c r="H809" s="164"/>
      <c r="I809" s="164"/>
      <c r="J809" s="164"/>
      <c r="K809" s="164"/>
      <c r="L809" s="164"/>
      <c r="M809" s="164"/>
      <c r="N809" s="164"/>
      <c r="O809" s="164"/>
      <c r="P809" s="164"/>
      <c r="Q809" s="164"/>
      <c r="R809" s="164"/>
      <c r="S809" s="164"/>
      <c r="T809" s="164"/>
      <c r="U809" s="164"/>
      <c r="V809" s="164"/>
      <c r="W809" s="164"/>
      <c r="X809" s="164"/>
      <c r="Y809" s="164"/>
      <c r="Z809" s="164"/>
    </row>
    <row r="810" ht="13.5" customHeight="1">
      <c r="A810" s="164"/>
      <c r="B810" s="164"/>
      <c r="C810" s="164"/>
      <c r="D810" s="164"/>
      <c r="E810" s="164"/>
      <c r="F810" s="164"/>
      <c r="G810" s="164"/>
      <c r="H810" s="164"/>
      <c r="I810" s="164"/>
      <c r="J810" s="164"/>
      <c r="K810" s="164"/>
      <c r="L810" s="164"/>
      <c r="M810" s="164"/>
      <c r="N810" s="164"/>
      <c r="O810" s="164"/>
      <c r="P810" s="164"/>
      <c r="Q810" s="164"/>
      <c r="R810" s="164"/>
      <c r="S810" s="164"/>
      <c r="T810" s="164"/>
      <c r="U810" s="164"/>
      <c r="V810" s="164"/>
      <c r="W810" s="164"/>
      <c r="X810" s="164"/>
      <c r="Y810" s="164"/>
      <c r="Z810" s="164"/>
    </row>
    <row r="811" ht="13.5" customHeight="1">
      <c r="A811" s="164"/>
      <c r="B811" s="164"/>
      <c r="C811" s="164"/>
      <c r="D811" s="164"/>
      <c r="E811" s="164"/>
      <c r="F811" s="164"/>
      <c r="G811" s="164"/>
      <c r="H811" s="164"/>
      <c r="I811" s="164"/>
      <c r="J811" s="164"/>
      <c r="K811" s="164"/>
      <c r="L811" s="164"/>
      <c r="M811" s="164"/>
      <c r="N811" s="164"/>
      <c r="O811" s="164"/>
      <c r="P811" s="164"/>
      <c r="Q811" s="164"/>
      <c r="R811" s="164"/>
      <c r="S811" s="164"/>
      <c r="T811" s="164"/>
      <c r="U811" s="164"/>
      <c r="V811" s="164"/>
      <c r="W811" s="164"/>
      <c r="X811" s="164"/>
      <c r="Y811" s="164"/>
      <c r="Z811" s="164"/>
    </row>
    <row r="812" ht="13.5" customHeight="1">
      <c r="A812" s="164"/>
      <c r="B812" s="164"/>
      <c r="C812" s="164"/>
      <c r="D812" s="164"/>
      <c r="E812" s="164"/>
      <c r="F812" s="164"/>
      <c r="G812" s="164"/>
      <c r="H812" s="164"/>
      <c r="I812" s="164"/>
      <c r="J812" s="164"/>
      <c r="K812" s="164"/>
      <c r="L812" s="164"/>
      <c r="M812" s="164"/>
      <c r="N812" s="164"/>
      <c r="O812" s="164"/>
      <c r="P812" s="164"/>
      <c r="Q812" s="164"/>
      <c r="R812" s="164"/>
      <c r="S812" s="164"/>
      <c r="T812" s="164"/>
      <c r="U812" s="164"/>
      <c r="V812" s="164"/>
      <c r="W812" s="164"/>
      <c r="X812" s="164"/>
      <c r="Y812" s="164"/>
      <c r="Z812" s="164"/>
    </row>
    <row r="813" ht="13.5" customHeight="1">
      <c r="A813" s="164"/>
      <c r="B813" s="164"/>
      <c r="C813" s="164"/>
      <c r="D813" s="164"/>
      <c r="E813" s="164"/>
      <c r="F813" s="164"/>
      <c r="G813" s="164"/>
      <c r="H813" s="164"/>
      <c r="I813" s="164"/>
      <c r="J813" s="164"/>
      <c r="K813" s="164"/>
      <c r="L813" s="164"/>
      <c r="M813" s="164"/>
      <c r="N813" s="164"/>
      <c r="O813" s="164"/>
      <c r="P813" s="164"/>
      <c r="Q813" s="164"/>
      <c r="R813" s="164"/>
      <c r="S813" s="164"/>
      <c r="T813" s="164"/>
      <c r="U813" s="164"/>
      <c r="V813" s="164"/>
      <c r="W813" s="164"/>
      <c r="X813" s="164"/>
      <c r="Y813" s="164"/>
      <c r="Z813" s="164"/>
    </row>
    <row r="814" ht="13.5" customHeight="1">
      <c r="A814" s="164"/>
      <c r="B814" s="164"/>
      <c r="C814" s="164"/>
      <c r="D814" s="164"/>
      <c r="E814" s="164"/>
      <c r="F814" s="164"/>
      <c r="G814" s="164"/>
      <c r="H814" s="164"/>
      <c r="I814" s="164"/>
      <c r="J814" s="164"/>
      <c r="K814" s="164"/>
      <c r="L814" s="164"/>
      <c r="M814" s="164"/>
      <c r="N814" s="164"/>
      <c r="O814" s="164"/>
      <c r="P814" s="164"/>
      <c r="Q814" s="164"/>
      <c r="R814" s="164"/>
      <c r="S814" s="164"/>
      <c r="T814" s="164"/>
      <c r="U814" s="164"/>
      <c r="V814" s="164"/>
      <c r="W814" s="164"/>
      <c r="X814" s="164"/>
      <c r="Y814" s="164"/>
      <c r="Z814" s="164"/>
    </row>
    <row r="815" ht="13.5" customHeight="1">
      <c r="A815" s="164"/>
      <c r="B815" s="164"/>
      <c r="C815" s="164"/>
      <c r="D815" s="164"/>
      <c r="E815" s="164"/>
      <c r="F815" s="164"/>
      <c r="G815" s="164"/>
      <c r="H815" s="164"/>
      <c r="I815" s="164"/>
      <c r="J815" s="164"/>
      <c r="K815" s="164"/>
      <c r="L815" s="164"/>
      <c r="M815" s="164"/>
      <c r="N815" s="164"/>
      <c r="O815" s="164"/>
      <c r="P815" s="164"/>
      <c r="Q815" s="164"/>
      <c r="R815" s="164"/>
      <c r="S815" s="164"/>
      <c r="T815" s="164"/>
      <c r="U815" s="164"/>
      <c r="V815" s="164"/>
      <c r="W815" s="164"/>
      <c r="X815" s="164"/>
      <c r="Y815" s="164"/>
      <c r="Z815" s="164"/>
    </row>
    <row r="816" ht="13.5" customHeight="1">
      <c r="A816" s="164"/>
      <c r="B816" s="164"/>
      <c r="C816" s="164"/>
      <c r="D816" s="164"/>
      <c r="E816" s="164"/>
      <c r="F816" s="164"/>
      <c r="G816" s="164"/>
      <c r="H816" s="164"/>
      <c r="I816" s="164"/>
      <c r="J816" s="164"/>
      <c r="K816" s="164"/>
      <c r="L816" s="164"/>
      <c r="M816" s="164"/>
      <c r="N816" s="164"/>
      <c r="O816" s="164"/>
      <c r="P816" s="164"/>
      <c r="Q816" s="164"/>
      <c r="R816" s="164"/>
      <c r="S816" s="164"/>
      <c r="T816" s="164"/>
      <c r="U816" s="164"/>
      <c r="V816" s="164"/>
      <c r="W816" s="164"/>
      <c r="X816" s="164"/>
      <c r="Y816" s="164"/>
      <c r="Z816" s="164"/>
    </row>
    <row r="817" ht="13.5" customHeight="1">
      <c r="A817" s="164"/>
      <c r="B817" s="164"/>
      <c r="C817" s="164"/>
      <c r="D817" s="164"/>
      <c r="E817" s="164"/>
      <c r="F817" s="164"/>
      <c r="G817" s="164"/>
      <c r="H817" s="164"/>
      <c r="I817" s="164"/>
      <c r="J817" s="164"/>
      <c r="K817" s="164"/>
      <c r="L817" s="164"/>
      <c r="M817" s="164"/>
      <c r="N817" s="164"/>
      <c r="O817" s="164"/>
      <c r="P817" s="164"/>
      <c r="Q817" s="164"/>
      <c r="R817" s="164"/>
      <c r="S817" s="164"/>
      <c r="T817" s="164"/>
      <c r="U817" s="164"/>
      <c r="V817" s="164"/>
      <c r="W817" s="164"/>
      <c r="X817" s="164"/>
      <c r="Y817" s="164"/>
      <c r="Z817" s="164"/>
    </row>
    <row r="818" ht="13.5" customHeight="1">
      <c r="A818" s="164"/>
      <c r="B818" s="164"/>
      <c r="C818" s="164"/>
      <c r="D818" s="164"/>
      <c r="E818" s="164"/>
      <c r="F818" s="164"/>
      <c r="G818" s="164"/>
      <c r="H818" s="164"/>
      <c r="I818" s="164"/>
      <c r="J818" s="164"/>
      <c r="K818" s="164"/>
      <c r="L818" s="164"/>
      <c r="M818" s="164"/>
      <c r="N818" s="164"/>
      <c r="O818" s="164"/>
      <c r="P818" s="164"/>
      <c r="Q818" s="164"/>
      <c r="R818" s="164"/>
      <c r="S818" s="164"/>
      <c r="T818" s="164"/>
      <c r="U818" s="164"/>
      <c r="V818" s="164"/>
      <c r="W818" s="164"/>
      <c r="X818" s="164"/>
      <c r="Y818" s="164"/>
      <c r="Z818" s="164"/>
    </row>
    <row r="819" ht="13.5" customHeight="1">
      <c r="A819" s="164"/>
      <c r="B819" s="164"/>
      <c r="C819" s="164"/>
      <c r="D819" s="164"/>
      <c r="E819" s="164"/>
      <c r="F819" s="164"/>
      <c r="G819" s="164"/>
      <c r="H819" s="164"/>
      <c r="I819" s="164"/>
      <c r="J819" s="164"/>
      <c r="K819" s="164"/>
      <c r="L819" s="164"/>
      <c r="M819" s="164"/>
      <c r="N819" s="164"/>
      <c r="O819" s="164"/>
      <c r="P819" s="164"/>
      <c r="Q819" s="164"/>
      <c r="R819" s="164"/>
      <c r="S819" s="164"/>
      <c r="T819" s="164"/>
      <c r="U819" s="164"/>
      <c r="V819" s="164"/>
      <c r="W819" s="164"/>
      <c r="X819" s="164"/>
      <c r="Y819" s="164"/>
      <c r="Z819" s="164"/>
    </row>
    <row r="820" ht="13.5" customHeight="1">
      <c r="A820" s="164"/>
      <c r="B820" s="164"/>
      <c r="C820" s="164"/>
      <c r="D820" s="164"/>
      <c r="E820" s="164"/>
      <c r="F820" s="164"/>
      <c r="G820" s="164"/>
      <c r="H820" s="164"/>
      <c r="I820" s="164"/>
      <c r="J820" s="164"/>
      <c r="K820" s="164"/>
      <c r="L820" s="164"/>
      <c r="M820" s="164"/>
      <c r="N820" s="164"/>
      <c r="O820" s="164"/>
      <c r="P820" s="164"/>
      <c r="Q820" s="164"/>
      <c r="R820" s="164"/>
      <c r="S820" s="164"/>
      <c r="T820" s="164"/>
      <c r="U820" s="164"/>
      <c r="V820" s="164"/>
      <c r="W820" s="164"/>
      <c r="X820" s="164"/>
      <c r="Y820" s="164"/>
      <c r="Z820" s="164"/>
    </row>
    <row r="821" ht="13.5" customHeight="1">
      <c r="A821" s="164"/>
      <c r="B821" s="164"/>
      <c r="C821" s="164"/>
      <c r="D821" s="164"/>
      <c r="E821" s="164"/>
      <c r="F821" s="164"/>
      <c r="G821" s="164"/>
      <c r="H821" s="164"/>
      <c r="I821" s="164"/>
      <c r="J821" s="164"/>
      <c r="K821" s="164"/>
      <c r="L821" s="164"/>
      <c r="M821" s="164"/>
      <c r="N821" s="164"/>
      <c r="O821" s="164"/>
      <c r="P821" s="164"/>
      <c r="Q821" s="164"/>
      <c r="R821" s="164"/>
      <c r="S821" s="164"/>
      <c r="T821" s="164"/>
      <c r="U821" s="164"/>
      <c r="V821" s="164"/>
      <c r="W821" s="164"/>
      <c r="X821" s="164"/>
      <c r="Y821" s="164"/>
      <c r="Z821" s="164"/>
    </row>
    <row r="822" ht="13.5" customHeight="1">
      <c r="A822" s="164"/>
      <c r="B822" s="164"/>
      <c r="C822" s="164"/>
      <c r="D822" s="164"/>
      <c r="E822" s="164"/>
      <c r="F822" s="164"/>
      <c r="G822" s="164"/>
      <c r="H822" s="164"/>
      <c r="I822" s="164"/>
      <c r="J822" s="164"/>
      <c r="K822" s="164"/>
      <c r="L822" s="164"/>
      <c r="M822" s="164"/>
      <c r="N822" s="164"/>
      <c r="O822" s="164"/>
      <c r="P822" s="164"/>
      <c r="Q822" s="164"/>
      <c r="R822" s="164"/>
      <c r="S822" s="164"/>
      <c r="T822" s="164"/>
      <c r="U822" s="164"/>
      <c r="V822" s="164"/>
      <c r="W822" s="164"/>
      <c r="X822" s="164"/>
      <c r="Y822" s="164"/>
      <c r="Z822" s="164"/>
    </row>
    <row r="823" ht="13.5" customHeight="1">
      <c r="A823" s="164"/>
      <c r="B823" s="164"/>
      <c r="C823" s="164"/>
      <c r="D823" s="164"/>
      <c r="E823" s="164"/>
      <c r="F823" s="164"/>
      <c r="G823" s="164"/>
      <c r="H823" s="164"/>
      <c r="I823" s="164"/>
      <c r="J823" s="164"/>
      <c r="K823" s="164"/>
      <c r="L823" s="164"/>
      <c r="M823" s="164"/>
      <c r="N823" s="164"/>
      <c r="O823" s="164"/>
      <c r="P823" s="164"/>
      <c r="Q823" s="164"/>
      <c r="R823" s="164"/>
      <c r="S823" s="164"/>
      <c r="T823" s="164"/>
      <c r="U823" s="164"/>
      <c r="V823" s="164"/>
      <c r="W823" s="164"/>
      <c r="X823" s="164"/>
      <c r="Y823" s="164"/>
      <c r="Z823" s="164"/>
    </row>
    <row r="824" ht="13.5" customHeight="1">
      <c r="A824" s="164"/>
      <c r="B824" s="164"/>
      <c r="C824" s="164"/>
      <c r="D824" s="164"/>
      <c r="E824" s="164"/>
      <c r="F824" s="164"/>
      <c r="G824" s="164"/>
      <c r="H824" s="164"/>
      <c r="I824" s="164"/>
      <c r="J824" s="164"/>
      <c r="K824" s="164"/>
      <c r="L824" s="164"/>
      <c r="M824" s="164"/>
      <c r="N824" s="164"/>
      <c r="O824" s="164"/>
      <c r="P824" s="164"/>
      <c r="Q824" s="164"/>
      <c r="R824" s="164"/>
      <c r="S824" s="164"/>
      <c r="T824" s="164"/>
      <c r="U824" s="164"/>
      <c r="V824" s="164"/>
      <c r="W824" s="164"/>
      <c r="X824" s="164"/>
      <c r="Y824" s="164"/>
      <c r="Z824" s="164"/>
    </row>
    <row r="825" ht="13.5" customHeight="1">
      <c r="A825" s="164"/>
      <c r="B825" s="164"/>
      <c r="C825" s="164"/>
      <c r="D825" s="164"/>
      <c r="E825" s="164"/>
      <c r="F825" s="164"/>
      <c r="G825" s="164"/>
      <c r="H825" s="164"/>
      <c r="I825" s="164"/>
      <c r="J825" s="164"/>
      <c r="K825" s="164"/>
      <c r="L825" s="164"/>
      <c r="M825" s="164"/>
      <c r="N825" s="164"/>
      <c r="O825" s="164"/>
      <c r="P825" s="164"/>
      <c r="Q825" s="164"/>
      <c r="R825" s="164"/>
      <c r="S825" s="164"/>
      <c r="T825" s="164"/>
      <c r="U825" s="164"/>
      <c r="V825" s="164"/>
      <c r="W825" s="164"/>
      <c r="X825" s="164"/>
      <c r="Y825" s="164"/>
      <c r="Z825" s="164"/>
    </row>
    <row r="826" ht="13.5" customHeight="1">
      <c r="A826" s="164"/>
      <c r="B826" s="164"/>
      <c r="C826" s="164"/>
      <c r="D826" s="164"/>
      <c r="E826" s="164"/>
      <c r="F826" s="164"/>
      <c r="G826" s="164"/>
      <c r="H826" s="164"/>
      <c r="I826" s="164"/>
      <c r="J826" s="164"/>
      <c r="K826" s="164"/>
      <c r="L826" s="164"/>
      <c r="M826" s="164"/>
      <c r="N826" s="164"/>
      <c r="O826" s="164"/>
      <c r="P826" s="164"/>
      <c r="Q826" s="164"/>
      <c r="R826" s="164"/>
      <c r="S826" s="164"/>
      <c r="T826" s="164"/>
      <c r="U826" s="164"/>
      <c r="V826" s="164"/>
      <c r="W826" s="164"/>
      <c r="X826" s="164"/>
      <c r="Y826" s="164"/>
      <c r="Z826" s="164"/>
    </row>
    <row r="827" ht="13.5" customHeight="1">
      <c r="A827" s="164"/>
      <c r="B827" s="164"/>
      <c r="C827" s="164"/>
      <c r="D827" s="164"/>
      <c r="E827" s="164"/>
      <c r="F827" s="164"/>
      <c r="G827" s="164"/>
      <c r="H827" s="164"/>
      <c r="I827" s="164"/>
      <c r="J827" s="164"/>
      <c r="K827" s="164"/>
      <c r="L827" s="164"/>
      <c r="M827" s="164"/>
      <c r="N827" s="164"/>
      <c r="O827" s="164"/>
      <c r="P827" s="164"/>
      <c r="Q827" s="164"/>
      <c r="R827" s="164"/>
      <c r="S827" s="164"/>
      <c r="T827" s="164"/>
      <c r="U827" s="164"/>
      <c r="V827" s="164"/>
      <c r="W827" s="164"/>
      <c r="X827" s="164"/>
      <c r="Y827" s="164"/>
      <c r="Z827" s="164"/>
    </row>
    <row r="828" ht="13.5" customHeight="1">
      <c r="A828" s="164"/>
      <c r="B828" s="164"/>
      <c r="C828" s="164"/>
      <c r="D828" s="164"/>
      <c r="E828" s="164"/>
      <c r="F828" s="164"/>
      <c r="G828" s="164"/>
      <c r="H828" s="164"/>
      <c r="I828" s="164"/>
      <c r="J828" s="164"/>
      <c r="K828" s="164"/>
      <c r="L828" s="164"/>
      <c r="M828" s="164"/>
      <c r="N828" s="164"/>
      <c r="O828" s="164"/>
      <c r="P828" s="164"/>
      <c r="Q828" s="164"/>
      <c r="R828" s="164"/>
      <c r="S828" s="164"/>
      <c r="T828" s="164"/>
      <c r="U828" s="164"/>
      <c r="V828" s="164"/>
      <c r="W828" s="164"/>
      <c r="X828" s="164"/>
      <c r="Y828" s="164"/>
      <c r="Z828" s="164"/>
    </row>
    <row r="829" ht="13.5" customHeight="1">
      <c r="A829" s="164"/>
      <c r="B829" s="164"/>
      <c r="C829" s="164"/>
      <c r="D829" s="164"/>
      <c r="E829" s="164"/>
      <c r="F829" s="164"/>
      <c r="G829" s="164"/>
      <c r="H829" s="164"/>
      <c r="I829" s="164"/>
      <c r="J829" s="164"/>
      <c r="K829" s="164"/>
      <c r="L829" s="164"/>
      <c r="M829" s="164"/>
      <c r="N829" s="164"/>
      <c r="O829" s="164"/>
      <c r="P829" s="164"/>
      <c r="Q829" s="164"/>
      <c r="R829" s="164"/>
      <c r="S829" s="164"/>
      <c r="T829" s="164"/>
      <c r="U829" s="164"/>
      <c r="V829" s="164"/>
      <c r="W829" s="164"/>
      <c r="X829" s="164"/>
      <c r="Y829" s="164"/>
      <c r="Z829" s="164"/>
    </row>
    <row r="830" ht="13.5" customHeight="1">
      <c r="A830" s="164"/>
      <c r="B830" s="164"/>
      <c r="C830" s="164"/>
      <c r="D830" s="164"/>
      <c r="E830" s="164"/>
      <c r="F830" s="164"/>
      <c r="G830" s="164"/>
      <c r="H830" s="164"/>
      <c r="I830" s="164"/>
      <c r="J830" s="164"/>
      <c r="K830" s="164"/>
      <c r="L830" s="164"/>
      <c r="M830" s="164"/>
      <c r="N830" s="164"/>
      <c r="O830" s="164"/>
      <c r="P830" s="164"/>
      <c r="Q830" s="164"/>
      <c r="R830" s="164"/>
      <c r="S830" s="164"/>
      <c r="T830" s="164"/>
      <c r="U830" s="164"/>
      <c r="V830" s="164"/>
      <c r="W830" s="164"/>
      <c r="X830" s="164"/>
      <c r="Y830" s="164"/>
      <c r="Z830" s="164"/>
    </row>
    <row r="831" ht="13.5" customHeight="1">
      <c r="A831" s="164"/>
      <c r="B831" s="164"/>
      <c r="C831" s="164"/>
      <c r="D831" s="164"/>
      <c r="E831" s="164"/>
      <c r="F831" s="164"/>
      <c r="G831" s="164"/>
      <c r="H831" s="164"/>
      <c r="I831" s="164"/>
      <c r="J831" s="164"/>
      <c r="K831" s="164"/>
      <c r="L831" s="164"/>
      <c r="M831" s="164"/>
      <c r="N831" s="164"/>
      <c r="O831" s="164"/>
      <c r="P831" s="164"/>
      <c r="Q831" s="164"/>
      <c r="R831" s="164"/>
      <c r="S831" s="164"/>
      <c r="T831" s="164"/>
      <c r="U831" s="164"/>
      <c r="V831" s="164"/>
      <c r="W831" s="164"/>
      <c r="X831" s="164"/>
      <c r="Y831" s="164"/>
      <c r="Z831" s="164"/>
    </row>
    <row r="832" ht="13.5" customHeight="1">
      <c r="A832" s="164"/>
      <c r="B832" s="164"/>
      <c r="C832" s="164"/>
      <c r="D832" s="164"/>
      <c r="E832" s="164"/>
      <c r="F832" s="164"/>
      <c r="G832" s="164"/>
      <c r="H832" s="164"/>
      <c r="I832" s="164"/>
      <c r="J832" s="164"/>
      <c r="K832" s="164"/>
      <c r="L832" s="164"/>
      <c r="M832" s="164"/>
      <c r="N832" s="164"/>
      <c r="O832" s="164"/>
      <c r="P832" s="164"/>
      <c r="Q832" s="164"/>
      <c r="R832" s="164"/>
      <c r="S832" s="164"/>
      <c r="T832" s="164"/>
      <c r="U832" s="164"/>
      <c r="V832" s="164"/>
      <c r="W832" s="164"/>
      <c r="X832" s="164"/>
      <c r="Y832" s="164"/>
      <c r="Z832" s="164"/>
    </row>
    <row r="833" ht="13.5" customHeight="1">
      <c r="A833" s="164"/>
      <c r="B833" s="164"/>
      <c r="C833" s="164"/>
      <c r="D833" s="164"/>
      <c r="E833" s="164"/>
      <c r="F833" s="164"/>
      <c r="G833" s="164"/>
      <c r="H833" s="164"/>
      <c r="I833" s="164"/>
      <c r="J833" s="164"/>
      <c r="K833" s="164"/>
      <c r="L833" s="164"/>
      <c r="M833" s="164"/>
      <c r="N833" s="164"/>
      <c r="O833" s="164"/>
      <c r="P833" s="164"/>
      <c r="Q833" s="164"/>
      <c r="R833" s="164"/>
      <c r="S833" s="164"/>
      <c r="T833" s="164"/>
      <c r="U833" s="164"/>
      <c r="V833" s="164"/>
      <c r="W833" s="164"/>
      <c r="X833" s="164"/>
      <c r="Y833" s="164"/>
      <c r="Z833" s="164"/>
    </row>
    <row r="834" ht="13.5" customHeight="1">
      <c r="A834" s="164"/>
      <c r="B834" s="164"/>
      <c r="C834" s="164"/>
      <c r="D834" s="164"/>
      <c r="E834" s="164"/>
      <c r="F834" s="164"/>
      <c r="G834" s="164"/>
      <c r="H834" s="164"/>
      <c r="I834" s="164"/>
      <c r="J834" s="164"/>
      <c r="K834" s="164"/>
      <c r="L834" s="164"/>
      <c r="M834" s="164"/>
      <c r="N834" s="164"/>
      <c r="O834" s="164"/>
      <c r="P834" s="164"/>
      <c r="Q834" s="164"/>
      <c r="R834" s="164"/>
      <c r="S834" s="164"/>
      <c r="T834" s="164"/>
      <c r="U834" s="164"/>
      <c r="V834" s="164"/>
      <c r="W834" s="164"/>
      <c r="X834" s="164"/>
      <c r="Y834" s="164"/>
      <c r="Z834" s="164"/>
    </row>
    <row r="835" ht="13.5" customHeight="1">
      <c r="A835" s="164"/>
      <c r="B835" s="164"/>
      <c r="C835" s="164"/>
      <c r="D835" s="164"/>
      <c r="E835" s="164"/>
      <c r="F835" s="164"/>
      <c r="G835" s="164"/>
      <c r="H835" s="164"/>
      <c r="I835" s="164"/>
      <c r="J835" s="164"/>
      <c r="K835" s="164"/>
      <c r="L835" s="164"/>
      <c r="M835" s="164"/>
      <c r="N835" s="164"/>
      <c r="O835" s="164"/>
      <c r="P835" s="164"/>
      <c r="Q835" s="164"/>
      <c r="R835" s="164"/>
      <c r="S835" s="164"/>
      <c r="T835" s="164"/>
      <c r="U835" s="164"/>
      <c r="V835" s="164"/>
      <c r="W835" s="164"/>
      <c r="X835" s="164"/>
      <c r="Y835" s="164"/>
      <c r="Z835" s="164"/>
    </row>
    <row r="836" ht="13.5" customHeight="1">
      <c r="A836" s="164"/>
      <c r="B836" s="164"/>
      <c r="C836" s="164"/>
      <c r="D836" s="164"/>
      <c r="E836" s="164"/>
      <c r="F836" s="164"/>
      <c r="G836" s="164"/>
      <c r="H836" s="164"/>
      <c r="I836" s="164"/>
      <c r="J836" s="164"/>
      <c r="K836" s="164"/>
      <c r="L836" s="164"/>
      <c r="M836" s="164"/>
      <c r="N836" s="164"/>
      <c r="O836" s="164"/>
      <c r="P836" s="164"/>
      <c r="Q836" s="164"/>
      <c r="R836" s="164"/>
      <c r="S836" s="164"/>
      <c r="T836" s="164"/>
      <c r="U836" s="164"/>
      <c r="V836" s="164"/>
      <c r="W836" s="164"/>
      <c r="X836" s="164"/>
      <c r="Y836" s="164"/>
      <c r="Z836" s="164"/>
    </row>
    <row r="837" ht="13.5" customHeight="1">
      <c r="A837" s="164"/>
      <c r="B837" s="164"/>
      <c r="C837" s="164"/>
      <c r="D837" s="164"/>
      <c r="E837" s="164"/>
      <c r="F837" s="164"/>
      <c r="G837" s="164"/>
      <c r="H837" s="164"/>
      <c r="I837" s="164"/>
      <c r="J837" s="164"/>
      <c r="K837" s="164"/>
      <c r="L837" s="164"/>
      <c r="M837" s="164"/>
      <c r="N837" s="164"/>
      <c r="O837" s="164"/>
      <c r="P837" s="164"/>
      <c r="Q837" s="164"/>
      <c r="R837" s="164"/>
      <c r="S837" s="164"/>
      <c r="T837" s="164"/>
      <c r="U837" s="164"/>
      <c r="V837" s="164"/>
      <c r="W837" s="164"/>
      <c r="X837" s="164"/>
      <c r="Y837" s="164"/>
      <c r="Z837" s="164"/>
    </row>
    <row r="838" ht="13.5" customHeight="1">
      <c r="A838" s="164"/>
      <c r="B838" s="164"/>
      <c r="C838" s="164"/>
      <c r="D838" s="164"/>
      <c r="E838" s="164"/>
      <c r="F838" s="164"/>
      <c r="G838" s="164"/>
      <c r="H838" s="164"/>
      <c r="I838" s="164"/>
      <c r="J838" s="164"/>
      <c r="K838" s="164"/>
      <c r="L838" s="164"/>
      <c r="M838" s="164"/>
      <c r="N838" s="164"/>
      <c r="O838" s="164"/>
      <c r="P838" s="164"/>
      <c r="Q838" s="164"/>
      <c r="R838" s="164"/>
      <c r="S838" s="164"/>
      <c r="T838" s="164"/>
      <c r="U838" s="164"/>
      <c r="V838" s="164"/>
      <c r="W838" s="164"/>
      <c r="X838" s="164"/>
      <c r="Y838" s="164"/>
      <c r="Z838" s="164"/>
    </row>
    <row r="839" ht="13.5" customHeight="1">
      <c r="A839" s="164"/>
      <c r="B839" s="164"/>
      <c r="C839" s="164"/>
      <c r="D839" s="164"/>
      <c r="E839" s="164"/>
      <c r="F839" s="164"/>
      <c r="G839" s="164"/>
      <c r="H839" s="164"/>
      <c r="I839" s="164"/>
      <c r="J839" s="164"/>
      <c r="K839" s="164"/>
      <c r="L839" s="164"/>
      <c r="M839" s="164"/>
      <c r="N839" s="164"/>
      <c r="O839" s="164"/>
      <c r="P839" s="164"/>
      <c r="Q839" s="164"/>
      <c r="R839" s="164"/>
      <c r="S839" s="164"/>
      <c r="T839" s="164"/>
      <c r="U839" s="164"/>
      <c r="V839" s="164"/>
      <c r="W839" s="164"/>
      <c r="X839" s="164"/>
      <c r="Y839" s="164"/>
      <c r="Z839" s="164"/>
    </row>
    <row r="840" ht="13.5" customHeight="1">
      <c r="A840" s="164"/>
      <c r="B840" s="164"/>
      <c r="C840" s="164"/>
      <c r="D840" s="164"/>
      <c r="E840" s="164"/>
      <c r="F840" s="164"/>
      <c r="G840" s="164"/>
      <c r="H840" s="164"/>
      <c r="I840" s="164"/>
      <c r="J840" s="164"/>
      <c r="K840" s="164"/>
      <c r="L840" s="164"/>
      <c r="M840" s="164"/>
      <c r="N840" s="164"/>
      <c r="O840" s="164"/>
      <c r="P840" s="164"/>
      <c r="Q840" s="164"/>
      <c r="R840" s="164"/>
      <c r="S840" s="164"/>
      <c r="T840" s="164"/>
      <c r="U840" s="164"/>
      <c r="V840" s="164"/>
      <c r="W840" s="164"/>
      <c r="X840" s="164"/>
      <c r="Y840" s="164"/>
      <c r="Z840" s="164"/>
    </row>
    <row r="841" ht="13.5" customHeight="1">
      <c r="A841" s="164"/>
      <c r="B841" s="164"/>
      <c r="C841" s="164"/>
      <c r="D841" s="164"/>
      <c r="E841" s="164"/>
      <c r="F841" s="164"/>
      <c r="G841" s="164"/>
      <c r="H841" s="164"/>
      <c r="I841" s="164"/>
      <c r="J841" s="164"/>
      <c r="K841" s="164"/>
      <c r="L841" s="164"/>
      <c r="M841" s="164"/>
      <c r="N841" s="164"/>
      <c r="O841" s="164"/>
      <c r="P841" s="164"/>
      <c r="Q841" s="164"/>
      <c r="R841" s="164"/>
      <c r="S841" s="164"/>
      <c r="T841" s="164"/>
      <c r="U841" s="164"/>
      <c r="V841" s="164"/>
      <c r="W841" s="164"/>
      <c r="X841" s="164"/>
      <c r="Y841" s="164"/>
      <c r="Z841" s="164"/>
    </row>
    <row r="842" ht="13.5" customHeight="1">
      <c r="A842" s="164"/>
      <c r="B842" s="164"/>
      <c r="C842" s="164"/>
      <c r="D842" s="164"/>
      <c r="E842" s="164"/>
      <c r="F842" s="164"/>
      <c r="G842" s="164"/>
      <c r="H842" s="164"/>
      <c r="I842" s="164"/>
      <c r="J842" s="164"/>
      <c r="K842" s="164"/>
      <c r="L842" s="164"/>
      <c r="M842" s="164"/>
      <c r="N842" s="164"/>
      <c r="O842" s="164"/>
      <c r="P842" s="164"/>
      <c r="Q842" s="164"/>
      <c r="R842" s="164"/>
      <c r="S842" s="164"/>
      <c r="T842" s="164"/>
      <c r="U842" s="164"/>
      <c r="V842" s="164"/>
      <c r="W842" s="164"/>
      <c r="X842" s="164"/>
      <c r="Y842" s="164"/>
      <c r="Z842" s="164"/>
    </row>
    <row r="843" ht="13.5" customHeight="1">
      <c r="A843" s="164"/>
      <c r="B843" s="164"/>
      <c r="C843" s="164"/>
      <c r="D843" s="164"/>
      <c r="E843" s="164"/>
      <c r="F843" s="164"/>
      <c r="G843" s="164"/>
      <c r="H843" s="164"/>
      <c r="I843" s="164"/>
      <c r="J843" s="164"/>
      <c r="K843" s="164"/>
      <c r="L843" s="164"/>
      <c r="M843" s="164"/>
      <c r="N843" s="164"/>
      <c r="O843" s="164"/>
      <c r="P843" s="164"/>
      <c r="Q843" s="164"/>
      <c r="R843" s="164"/>
      <c r="S843" s="164"/>
      <c r="T843" s="164"/>
      <c r="U843" s="164"/>
      <c r="V843" s="164"/>
      <c r="W843" s="164"/>
      <c r="X843" s="164"/>
      <c r="Y843" s="164"/>
      <c r="Z843" s="164"/>
    </row>
    <row r="844" ht="13.5" customHeight="1">
      <c r="A844" s="164"/>
      <c r="B844" s="164"/>
      <c r="C844" s="164"/>
      <c r="D844" s="164"/>
      <c r="E844" s="164"/>
      <c r="F844" s="164"/>
      <c r="G844" s="164"/>
      <c r="H844" s="164"/>
      <c r="I844" s="164"/>
      <c r="J844" s="164"/>
      <c r="K844" s="164"/>
      <c r="L844" s="164"/>
      <c r="M844" s="164"/>
      <c r="N844" s="164"/>
      <c r="O844" s="164"/>
      <c r="P844" s="164"/>
      <c r="Q844" s="164"/>
      <c r="R844" s="164"/>
      <c r="S844" s="164"/>
      <c r="T844" s="164"/>
      <c r="U844" s="164"/>
      <c r="V844" s="164"/>
      <c r="W844" s="164"/>
      <c r="X844" s="164"/>
      <c r="Y844" s="164"/>
      <c r="Z844" s="164"/>
    </row>
    <row r="845" ht="13.5" customHeight="1">
      <c r="A845" s="164"/>
      <c r="B845" s="164"/>
      <c r="C845" s="164"/>
      <c r="D845" s="164"/>
      <c r="E845" s="164"/>
      <c r="F845" s="164"/>
      <c r="G845" s="164"/>
      <c r="H845" s="164"/>
      <c r="I845" s="164"/>
      <c r="J845" s="164"/>
      <c r="K845" s="164"/>
      <c r="L845" s="164"/>
      <c r="M845" s="164"/>
      <c r="N845" s="164"/>
      <c r="O845" s="164"/>
      <c r="P845" s="164"/>
      <c r="Q845" s="164"/>
      <c r="R845" s="164"/>
      <c r="S845" s="164"/>
      <c r="T845" s="164"/>
      <c r="U845" s="164"/>
      <c r="V845" s="164"/>
      <c r="W845" s="164"/>
      <c r="X845" s="164"/>
      <c r="Y845" s="164"/>
      <c r="Z845" s="164"/>
    </row>
    <row r="846" ht="13.5" customHeight="1">
      <c r="A846" s="164"/>
      <c r="B846" s="164"/>
      <c r="C846" s="164"/>
      <c r="D846" s="164"/>
      <c r="E846" s="164"/>
      <c r="F846" s="164"/>
      <c r="G846" s="164"/>
      <c r="H846" s="164"/>
      <c r="I846" s="164"/>
      <c r="J846" s="164"/>
      <c r="K846" s="164"/>
      <c r="L846" s="164"/>
      <c r="M846" s="164"/>
      <c r="N846" s="164"/>
      <c r="O846" s="164"/>
      <c r="P846" s="164"/>
      <c r="Q846" s="164"/>
      <c r="R846" s="164"/>
      <c r="S846" s="164"/>
      <c r="T846" s="164"/>
      <c r="U846" s="164"/>
      <c r="V846" s="164"/>
      <c r="W846" s="164"/>
      <c r="X846" s="164"/>
      <c r="Y846" s="164"/>
      <c r="Z846" s="164"/>
    </row>
    <row r="847" ht="13.5" customHeight="1">
      <c r="A847" s="164"/>
      <c r="B847" s="164"/>
      <c r="C847" s="164"/>
      <c r="D847" s="164"/>
      <c r="E847" s="164"/>
      <c r="F847" s="164"/>
      <c r="G847" s="164"/>
      <c r="H847" s="164"/>
      <c r="I847" s="164"/>
      <c r="J847" s="164"/>
      <c r="K847" s="164"/>
      <c r="L847" s="164"/>
      <c r="M847" s="164"/>
      <c r="N847" s="164"/>
      <c r="O847" s="164"/>
      <c r="P847" s="164"/>
      <c r="Q847" s="164"/>
      <c r="R847" s="164"/>
      <c r="S847" s="164"/>
      <c r="T847" s="164"/>
      <c r="U847" s="164"/>
      <c r="V847" s="164"/>
      <c r="W847" s="164"/>
      <c r="X847" s="164"/>
      <c r="Y847" s="164"/>
      <c r="Z847" s="164"/>
    </row>
    <row r="848" ht="13.5" customHeight="1">
      <c r="A848" s="164"/>
      <c r="B848" s="164"/>
      <c r="C848" s="164"/>
      <c r="D848" s="164"/>
      <c r="E848" s="164"/>
      <c r="F848" s="164"/>
      <c r="G848" s="164"/>
      <c r="H848" s="164"/>
      <c r="I848" s="164"/>
      <c r="J848" s="164"/>
      <c r="K848" s="164"/>
      <c r="L848" s="164"/>
      <c r="M848" s="164"/>
      <c r="N848" s="164"/>
      <c r="O848" s="164"/>
      <c r="P848" s="164"/>
      <c r="Q848" s="164"/>
      <c r="R848" s="164"/>
      <c r="S848" s="164"/>
      <c r="T848" s="164"/>
      <c r="U848" s="164"/>
      <c r="V848" s="164"/>
      <c r="W848" s="164"/>
      <c r="X848" s="164"/>
      <c r="Y848" s="164"/>
      <c r="Z848" s="164"/>
    </row>
    <row r="849" ht="13.5" customHeight="1">
      <c r="A849" s="164"/>
      <c r="B849" s="164"/>
      <c r="C849" s="164"/>
      <c r="D849" s="164"/>
      <c r="E849" s="164"/>
      <c r="F849" s="164"/>
      <c r="G849" s="164"/>
      <c r="H849" s="164"/>
      <c r="I849" s="164"/>
      <c r="J849" s="164"/>
      <c r="K849" s="164"/>
      <c r="L849" s="164"/>
      <c r="M849" s="164"/>
      <c r="N849" s="164"/>
      <c r="O849" s="164"/>
      <c r="P849" s="164"/>
      <c r="Q849" s="164"/>
      <c r="R849" s="164"/>
      <c r="S849" s="164"/>
      <c r="T849" s="164"/>
      <c r="U849" s="164"/>
      <c r="V849" s="164"/>
      <c r="W849" s="164"/>
      <c r="X849" s="164"/>
      <c r="Y849" s="164"/>
      <c r="Z849" s="164"/>
    </row>
    <row r="850" ht="13.5" customHeight="1">
      <c r="A850" s="164"/>
      <c r="B850" s="164"/>
      <c r="C850" s="164"/>
      <c r="D850" s="164"/>
      <c r="E850" s="164"/>
      <c r="F850" s="164"/>
      <c r="G850" s="164"/>
      <c r="H850" s="164"/>
      <c r="I850" s="164"/>
      <c r="J850" s="164"/>
      <c r="K850" s="164"/>
      <c r="L850" s="164"/>
      <c r="M850" s="164"/>
      <c r="N850" s="164"/>
      <c r="O850" s="164"/>
      <c r="P850" s="164"/>
      <c r="Q850" s="164"/>
      <c r="R850" s="164"/>
      <c r="S850" s="164"/>
      <c r="T850" s="164"/>
      <c r="U850" s="164"/>
      <c r="V850" s="164"/>
      <c r="W850" s="164"/>
      <c r="X850" s="164"/>
      <c r="Y850" s="164"/>
      <c r="Z850" s="164"/>
    </row>
    <row r="851" ht="13.5" customHeight="1">
      <c r="A851" s="164"/>
      <c r="B851" s="164"/>
      <c r="C851" s="164"/>
      <c r="D851" s="164"/>
      <c r="E851" s="164"/>
      <c r="F851" s="164"/>
      <c r="G851" s="164"/>
      <c r="H851" s="164"/>
      <c r="I851" s="164"/>
      <c r="J851" s="164"/>
      <c r="K851" s="164"/>
      <c r="L851" s="164"/>
      <c r="M851" s="164"/>
      <c r="N851" s="164"/>
      <c r="O851" s="164"/>
      <c r="P851" s="164"/>
      <c r="Q851" s="164"/>
      <c r="R851" s="164"/>
      <c r="S851" s="164"/>
      <c r="T851" s="164"/>
      <c r="U851" s="164"/>
      <c r="V851" s="164"/>
      <c r="W851" s="164"/>
      <c r="X851" s="164"/>
      <c r="Y851" s="164"/>
      <c r="Z851" s="164"/>
    </row>
    <row r="852" ht="13.5" customHeight="1">
      <c r="A852" s="164"/>
      <c r="B852" s="164"/>
      <c r="C852" s="164"/>
      <c r="D852" s="164"/>
      <c r="E852" s="164"/>
      <c r="F852" s="164"/>
      <c r="G852" s="164"/>
      <c r="H852" s="164"/>
      <c r="I852" s="164"/>
      <c r="J852" s="164"/>
      <c r="K852" s="164"/>
      <c r="L852" s="164"/>
      <c r="M852" s="164"/>
      <c r="N852" s="164"/>
      <c r="O852" s="164"/>
      <c r="P852" s="164"/>
      <c r="Q852" s="164"/>
      <c r="R852" s="164"/>
      <c r="S852" s="164"/>
      <c r="T852" s="164"/>
      <c r="U852" s="164"/>
      <c r="V852" s="164"/>
      <c r="W852" s="164"/>
      <c r="X852" s="164"/>
      <c r="Y852" s="164"/>
      <c r="Z852" s="164"/>
    </row>
    <row r="853" ht="13.5" customHeight="1">
      <c r="A853" s="164"/>
      <c r="B853" s="164"/>
      <c r="C853" s="164"/>
      <c r="D853" s="164"/>
      <c r="E853" s="164"/>
      <c r="F853" s="164"/>
      <c r="G853" s="164"/>
      <c r="H853" s="164"/>
      <c r="I853" s="164"/>
      <c r="J853" s="164"/>
      <c r="K853" s="164"/>
      <c r="L853" s="164"/>
      <c r="M853" s="164"/>
      <c r="N853" s="164"/>
      <c r="O853" s="164"/>
      <c r="P853" s="164"/>
      <c r="Q853" s="164"/>
      <c r="R853" s="164"/>
      <c r="S853" s="164"/>
      <c r="T853" s="164"/>
      <c r="U853" s="164"/>
      <c r="V853" s="164"/>
      <c r="W853" s="164"/>
      <c r="X853" s="164"/>
      <c r="Y853" s="164"/>
      <c r="Z853" s="164"/>
    </row>
    <row r="854" ht="13.5" customHeight="1">
      <c r="A854" s="164"/>
      <c r="B854" s="164"/>
      <c r="C854" s="164"/>
      <c r="D854" s="164"/>
      <c r="E854" s="164"/>
      <c r="F854" s="164"/>
      <c r="G854" s="164"/>
      <c r="H854" s="164"/>
      <c r="I854" s="164"/>
      <c r="J854" s="164"/>
      <c r="K854" s="164"/>
      <c r="L854" s="164"/>
      <c r="M854" s="164"/>
      <c r="N854" s="164"/>
      <c r="O854" s="164"/>
      <c r="P854" s="164"/>
      <c r="Q854" s="164"/>
      <c r="R854" s="164"/>
      <c r="S854" s="164"/>
      <c r="T854" s="164"/>
      <c r="U854" s="164"/>
      <c r="V854" s="164"/>
      <c r="W854" s="164"/>
      <c r="X854" s="164"/>
      <c r="Y854" s="164"/>
      <c r="Z854" s="164"/>
    </row>
    <row r="855" ht="13.5" customHeight="1">
      <c r="A855" s="164"/>
      <c r="B855" s="164"/>
      <c r="C855" s="164"/>
      <c r="D855" s="164"/>
      <c r="E855" s="164"/>
      <c r="F855" s="164"/>
      <c r="G855" s="164"/>
      <c r="H855" s="164"/>
      <c r="I855" s="164"/>
      <c r="J855" s="164"/>
      <c r="K855" s="164"/>
      <c r="L855" s="164"/>
      <c r="M855" s="164"/>
      <c r="N855" s="164"/>
      <c r="O855" s="164"/>
      <c r="P855" s="164"/>
      <c r="Q855" s="164"/>
      <c r="R855" s="164"/>
      <c r="S855" s="164"/>
      <c r="T855" s="164"/>
      <c r="U855" s="164"/>
      <c r="V855" s="164"/>
      <c r="W855" s="164"/>
      <c r="X855" s="164"/>
      <c r="Y855" s="164"/>
      <c r="Z855" s="164"/>
    </row>
    <row r="856" ht="13.5" customHeight="1">
      <c r="A856" s="164"/>
      <c r="B856" s="164"/>
      <c r="C856" s="164"/>
      <c r="D856" s="164"/>
      <c r="E856" s="164"/>
      <c r="F856" s="164"/>
      <c r="G856" s="164"/>
      <c r="H856" s="164"/>
      <c r="I856" s="164"/>
      <c r="J856" s="164"/>
      <c r="K856" s="164"/>
      <c r="L856" s="164"/>
      <c r="M856" s="164"/>
      <c r="N856" s="164"/>
      <c r="O856" s="164"/>
      <c r="P856" s="164"/>
      <c r="Q856" s="164"/>
      <c r="R856" s="164"/>
      <c r="S856" s="164"/>
      <c r="T856" s="164"/>
      <c r="U856" s="164"/>
      <c r="V856" s="164"/>
      <c r="W856" s="164"/>
      <c r="X856" s="164"/>
      <c r="Y856" s="164"/>
      <c r="Z856" s="164"/>
    </row>
    <row r="857" ht="13.5" customHeight="1">
      <c r="A857" s="164"/>
      <c r="B857" s="164"/>
      <c r="C857" s="164"/>
      <c r="D857" s="164"/>
      <c r="E857" s="164"/>
      <c r="F857" s="164"/>
      <c r="G857" s="164"/>
      <c r="H857" s="164"/>
      <c r="I857" s="164"/>
      <c r="J857" s="164"/>
      <c r="K857" s="164"/>
      <c r="L857" s="164"/>
      <c r="M857" s="164"/>
      <c r="N857" s="164"/>
      <c r="O857" s="164"/>
      <c r="P857" s="164"/>
      <c r="Q857" s="164"/>
      <c r="R857" s="164"/>
      <c r="S857" s="164"/>
      <c r="T857" s="164"/>
      <c r="U857" s="164"/>
      <c r="V857" s="164"/>
      <c r="W857" s="164"/>
      <c r="X857" s="164"/>
      <c r="Y857" s="164"/>
      <c r="Z857" s="164"/>
    </row>
    <row r="858" ht="13.5" customHeight="1">
      <c r="A858" s="164"/>
      <c r="B858" s="164"/>
      <c r="C858" s="164"/>
      <c r="D858" s="164"/>
      <c r="E858" s="164"/>
      <c r="F858" s="164"/>
      <c r="G858" s="164"/>
      <c r="H858" s="164"/>
      <c r="I858" s="164"/>
      <c r="J858" s="164"/>
      <c r="K858" s="164"/>
      <c r="L858" s="164"/>
      <c r="M858" s="164"/>
      <c r="N858" s="164"/>
      <c r="O858" s="164"/>
      <c r="P858" s="164"/>
      <c r="Q858" s="164"/>
      <c r="R858" s="164"/>
      <c r="S858" s="164"/>
      <c r="T858" s="164"/>
      <c r="U858" s="164"/>
      <c r="V858" s="164"/>
      <c r="W858" s="164"/>
      <c r="X858" s="164"/>
      <c r="Y858" s="164"/>
      <c r="Z858" s="164"/>
    </row>
    <row r="859" ht="13.5" customHeight="1">
      <c r="A859" s="164"/>
      <c r="B859" s="164"/>
      <c r="C859" s="164"/>
      <c r="D859" s="164"/>
      <c r="E859" s="164"/>
      <c r="F859" s="164"/>
      <c r="G859" s="164"/>
      <c r="H859" s="164"/>
      <c r="I859" s="164"/>
      <c r="J859" s="164"/>
      <c r="K859" s="164"/>
      <c r="L859" s="164"/>
      <c r="M859" s="164"/>
      <c r="N859" s="164"/>
      <c r="O859" s="164"/>
      <c r="P859" s="164"/>
      <c r="Q859" s="164"/>
      <c r="R859" s="164"/>
      <c r="S859" s="164"/>
      <c r="T859" s="164"/>
      <c r="U859" s="164"/>
      <c r="V859" s="164"/>
      <c r="W859" s="164"/>
      <c r="X859" s="164"/>
      <c r="Y859" s="164"/>
      <c r="Z859" s="164"/>
    </row>
    <row r="860" ht="13.5" customHeight="1">
      <c r="A860" s="164"/>
      <c r="B860" s="164"/>
      <c r="C860" s="164"/>
      <c r="D860" s="164"/>
      <c r="E860" s="164"/>
      <c r="F860" s="164"/>
      <c r="G860" s="164"/>
      <c r="H860" s="164"/>
      <c r="I860" s="164"/>
      <c r="J860" s="164"/>
      <c r="K860" s="164"/>
      <c r="L860" s="164"/>
      <c r="M860" s="164"/>
      <c r="N860" s="164"/>
      <c r="O860" s="164"/>
      <c r="P860" s="164"/>
      <c r="Q860" s="164"/>
      <c r="R860" s="164"/>
      <c r="S860" s="164"/>
      <c r="T860" s="164"/>
      <c r="U860" s="164"/>
      <c r="V860" s="164"/>
      <c r="W860" s="164"/>
      <c r="X860" s="164"/>
      <c r="Y860" s="164"/>
      <c r="Z860" s="164"/>
    </row>
    <row r="861" ht="13.5" customHeight="1">
      <c r="A861" s="164"/>
      <c r="B861" s="164"/>
      <c r="C861" s="164"/>
      <c r="D861" s="164"/>
      <c r="E861" s="164"/>
      <c r="F861" s="164"/>
      <c r="G861" s="164"/>
      <c r="H861" s="164"/>
      <c r="I861" s="164"/>
      <c r="J861" s="164"/>
      <c r="K861" s="164"/>
      <c r="L861" s="164"/>
      <c r="M861" s="164"/>
      <c r="N861" s="164"/>
      <c r="O861" s="164"/>
      <c r="P861" s="164"/>
      <c r="Q861" s="164"/>
      <c r="R861" s="164"/>
      <c r="S861" s="164"/>
      <c r="T861" s="164"/>
      <c r="U861" s="164"/>
      <c r="V861" s="164"/>
      <c r="W861" s="164"/>
      <c r="X861" s="164"/>
      <c r="Y861" s="164"/>
      <c r="Z861" s="164"/>
    </row>
    <row r="862" ht="13.5" customHeight="1">
      <c r="A862" s="164"/>
      <c r="B862" s="164"/>
      <c r="C862" s="164"/>
      <c r="D862" s="164"/>
      <c r="E862" s="164"/>
      <c r="F862" s="164"/>
      <c r="G862" s="164"/>
      <c r="H862" s="164"/>
      <c r="I862" s="164"/>
      <c r="J862" s="164"/>
      <c r="K862" s="164"/>
      <c r="L862" s="164"/>
      <c r="M862" s="164"/>
      <c r="N862" s="164"/>
      <c r="O862" s="164"/>
      <c r="P862" s="164"/>
      <c r="Q862" s="164"/>
      <c r="R862" s="164"/>
      <c r="S862" s="164"/>
      <c r="T862" s="164"/>
      <c r="U862" s="164"/>
      <c r="V862" s="164"/>
      <c r="W862" s="164"/>
      <c r="X862" s="164"/>
      <c r="Y862" s="164"/>
      <c r="Z862" s="164"/>
    </row>
    <row r="863" ht="13.5" customHeight="1">
      <c r="A863" s="164"/>
      <c r="B863" s="164"/>
      <c r="C863" s="164"/>
      <c r="D863" s="164"/>
      <c r="E863" s="164"/>
      <c r="F863" s="164"/>
      <c r="G863" s="164"/>
      <c r="H863" s="164"/>
      <c r="I863" s="164"/>
      <c r="J863" s="164"/>
      <c r="K863" s="164"/>
      <c r="L863" s="164"/>
      <c r="M863" s="164"/>
      <c r="N863" s="164"/>
      <c r="O863" s="164"/>
      <c r="P863" s="164"/>
      <c r="Q863" s="164"/>
      <c r="R863" s="164"/>
      <c r="S863" s="164"/>
      <c r="T863" s="164"/>
      <c r="U863" s="164"/>
      <c r="V863" s="164"/>
      <c r="W863" s="164"/>
      <c r="X863" s="164"/>
      <c r="Y863" s="164"/>
      <c r="Z863" s="164"/>
    </row>
    <row r="864" ht="13.5" customHeight="1">
      <c r="A864" s="164"/>
      <c r="B864" s="164"/>
      <c r="C864" s="164"/>
      <c r="D864" s="164"/>
      <c r="E864" s="164"/>
      <c r="F864" s="164"/>
      <c r="G864" s="164"/>
      <c r="H864" s="164"/>
      <c r="I864" s="164"/>
      <c r="J864" s="164"/>
      <c r="K864" s="164"/>
      <c r="L864" s="164"/>
      <c r="M864" s="164"/>
      <c r="N864" s="164"/>
      <c r="O864" s="164"/>
      <c r="P864" s="164"/>
      <c r="Q864" s="164"/>
      <c r="R864" s="164"/>
      <c r="S864" s="164"/>
      <c r="T864" s="164"/>
      <c r="U864" s="164"/>
      <c r="V864" s="164"/>
      <c r="W864" s="164"/>
      <c r="X864" s="164"/>
      <c r="Y864" s="164"/>
      <c r="Z864" s="164"/>
    </row>
    <row r="865" ht="13.5" customHeight="1">
      <c r="A865" s="164"/>
      <c r="B865" s="164"/>
      <c r="C865" s="164"/>
      <c r="D865" s="164"/>
      <c r="E865" s="164"/>
      <c r="F865" s="164"/>
      <c r="G865" s="164"/>
      <c r="H865" s="164"/>
      <c r="I865" s="164"/>
      <c r="J865" s="164"/>
      <c r="K865" s="164"/>
      <c r="L865" s="164"/>
      <c r="M865" s="164"/>
      <c r="N865" s="164"/>
      <c r="O865" s="164"/>
      <c r="P865" s="164"/>
      <c r="Q865" s="164"/>
      <c r="R865" s="164"/>
      <c r="S865" s="164"/>
      <c r="T865" s="164"/>
      <c r="U865" s="164"/>
      <c r="V865" s="164"/>
      <c r="W865" s="164"/>
      <c r="X865" s="164"/>
      <c r="Y865" s="164"/>
      <c r="Z865" s="164"/>
    </row>
    <row r="866" ht="13.5" customHeight="1">
      <c r="A866" s="164"/>
      <c r="B866" s="164"/>
      <c r="C866" s="164"/>
      <c r="D866" s="164"/>
      <c r="E866" s="164"/>
      <c r="F866" s="164"/>
      <c r="G866" s="164"/>
      <c r="H866" s="164"/>
      <c r="I866" s="164"/>
      <c r="J866" s="164"/>
      <c r="K866" s="164"/>
      <c r="L866" s="164"/>
      <c r="M866" s="164"/>
      <c r="N866" s="164"/>
      <c r="O866" s="164"/>
      <c r="P866" s="164"/>
      <c r="Q866" s="164"/>
      <c r="R866" s="164"/>
      <c r="S866" s="164"/>
      <c r="T866" s="164"/>
      <c r="U866" s="164"/>
      <c r="V866" s="164"/>
      <c r="W866" s="164"/>
      <c r="X866" s="164"/>
      <c r="Y866" s="164"/>
      <c r="Z866" s="164"/>
    </row>
    <row r="867" ht="13.5" customHeight="1">
      <c r="A867" s="164"/>
      <c r="B867" s="164"/>
      <c r="C867" s="164"/>
      <c r="D867" s="164"/>
      <c r="E867" s="164"/>
      <c r="F867" s="164"/>
      <c r="G867" s="164"/>
      <c r="H867" s="164"/>
      <c r="I867" s="164"/>
      <c r="J867" s="164"/>
      <c r="K867" s="164"/>
      <c r="L867" s="164"/>
      <c r="M867" s="164"/>
      <c r="N867" s="164"/>
      <c r="O867" s="164"/>
      <c r="P867" s="164"/>
      <c r="Q867" s="164"/>
      <c r="R867" s="164"/>
      <c r="S867" s="164"/>
      <c r="T867" s="164"/>
      <c r="U867" s="164"/>
      <c r="V867" s="164"/>
      <c r="W867" s="164"/>
      <c r="X867" s="164"/>
      <c r="Y867" s="164"/>
      <c r="Z867" s="164"/>
    </row>
    <row r="868" ht="13.5" customHeight="1">
      <c r="A868" s="164"/>
      <c r="B868" s="164"/>
      <c r="C868" s="164"/>
      <c r="D868" s="164"/>
      <c r="E868" s="164"/>
      <c r="F868" s="164"/>
      <c r="G868" s="164"/>
      <c r="H868" s="164"/>
      <c r="I868" s="164"/>
      <c r="J868" s="164"/>
      <c r="K868" s="164"/>
      <c r="L868" s="164"/>
      <c r="M868" s="164"/>
      <c r="N868" s="164"/>
      <c r="O868" s="164"/>
      <c r="P868" s="164"/>
      <c r="Q868" s="164"/>
      <c r="R868" s="164"/>
      <c r="S868" s="164"/>
      <c r="T868" s="164"/>
      <c r="U868" s="164"/>
      <c r="V868" s="164"/>
      <c r="W868" s="164"/>
      <c r="X868" s="164"/>
      <c r="Y868" s="164"/>
      <c r="Z868" s="164"/>
    </row>
    <row r="869" ht="13.5" customHeight="1">
      <c r="A869" s="164"/>
      <c r="B869" s="164"/>
      <c r="C869" s="164"/>
      <c r="D869" s="164"/>
      <c r="E869" s="164"/>
      <c r="F869" s="164"/>
      <c r="G869" s="164"/>
      <c r="H869" s="164"/>
      <c r="I869" s="164"/>
      <c r="J869" s="164"/>
      <c r="K869" s="164"/>
      <c r="L869" s="164"/>
      <c r="M869" s="164"/>
      <c r="N869" s="164"/>
      <c r="O869" s="164"/>
      <c r="P869" s="164"/>
      <c r="Q869" s="164"/>
      <c r="R869" s="164"/>
      <c r="S869" s="164"/>
      <c r="T869" s="164"/>
      <c r="U869" s="164"/>
      <c r="V869" s="164"/>
      <c r="W869" s="164"/>
      <c r="X869" s="164"/>
      <c r="Y869" s="164"/>
      <c r="Z869" s="164"/>
    </row>
    <row r="870" ht="13.5" customHeight="1">
      <c r="A870" s="164"/>
      <c r="B870" s="164"/>
      <c r="C870" s="164"/>
      <c r="D870" s="164"/>
      <c r="E870" s="164"/>
      <c r="F870" s="164"/>
      <c r="G870" s="164"/>
      <c r="H870" s="164"/>
      <c r="I870" s="164"/>
      <c r="J870" s="164"/>
      <c r="K870" s="164"/>
      <c r="L870" s="164"/>
      <c r="M870" s="164"/>
      <c r="N870" s="164"/>
      <c r="O870" s="164"/>
      <c r="P870" s="164"/>
      <c r="Q870" s="164"/>
      <c r="R870" s="164"/>
      <c r="S870" s="164"/>
      <c r="T870" s="164"/>
      <c r="U870" s="164"/>
      <c r="V870" s="164"/>
      <c r="W870" s="164"/>
      <c r="X870" s="164"/>
      <c r="Y870" s="164"/>
      <c r="Z870" s="164"/>
    </row>
    <row r="871" ht="13.5" customHeight="1">
      <c r="A871" s="164"/>
      <c r="B871" s="164"/>
      <c r="C871" s="164"/>
      <c r="D871" s="164"/>
      <c r="E871" s="164"/>
      <c r="F871" s="164"/>
      <c r="G871" s="164"/>
      <c r="H871" s="164"/>
      <c r="I871" s="164"/>
      <c r="J871" s="164"/>
      <c r="K871" s="164"/>
      <c r="L871" s="164"/>
      <c r="M871" s="164"/>
      <c r="N871" s="164"/>
      <c r="O871" s="164"/>
      <c r="P871" s="164"/>
      <c r="Q871" s="164"/>
      <c r="R871" s="164"/>
      <c r="S871" s="164"/>
      <c r="T871" s="164"/>
      <c r="U871" s="164"/>
      <c r="V871" s="164"/>
      <c r="W871" s="164"/>
      <c r="X871" s="164"/>
      <c r="Y871" s="164"/>
      <c r="Z871" s="164"/>
    </row>
    <row r="872" ht="13.5" customHeight="1">
      <c r="A872" s="164"/>
      <c r="B872" s="164"/>
      <c r="C872" s="164"/>
      <c r="D872" s="164"/>
      <c r="E872" s="164"/>
      <c r="F872" s="164"/>
      <c r="G872" s="164"/>
      <c r="H872" s="164"/>
      <c r="I872" s="164"/>
      <c r="J872" s="164"/>
      <c r="K872" s="164"/>
      <c r="L872" s="164"/>
      <c r="M872" s="164"/>
      <c r="N872" s="164"/>
      <c r="O872" s="164"/>
      <c r="P872" s="164"/>
      <c r="Q872" s="164"/>
      <c r="R872" s="164"/>
      <c r="S872" s="164"/>
      <c r="T872" s="164"/>
      <c r="U872" s="164"/>
      <c r="V872" s="164"/>
      <c r="W872" s="164"/>
      <c r="X872" s="164"/>
      <c r="Y872" s="164"/>
      <c r="Z872" s="164"/>
    </row>
    <row r="873" ht="13.5" customHeight="1">
      <c r="A873" s="164"/>
      <c r="B873" s="164"/>
      <c r="C873" s="164"/>
      <c r="D873" s="164"/>
      <c r="E873" s="164"/>
      <c r="F873" s="164"/>
      <c r="G873" s="164"/>
      <c r="H873" s="164"/>
      <c r="I873" s="164"/>
      <c r="J873" s="164"/>
      <c r="K873" s="164"/>
      <c r="L873" s="164"/>
      <c r="M873" s="164"/>
      <c r="N873" s="164"/>
      <c r="O873" s="164"/>
      <c r="P873" s="164"/>
      <c r="Q873" s="164"/>
      <c r="R873" s="164"/>
      <c r="S873" s="164"/>
      <c r="T873" s="164"/>
      <c r="U873" s="164"/>
      <c r="V873" s="164"/>
      <c r="W873" s="164"/>
      <c r="X873" s="164"/>
      <c r="Y873" s="164"/>
      <c r="Z873" s="164"/>
    </row>
    <row r="874" ht="13.5" customHeight="1">
      <c r="A874" s="164"/>
      <c r="B874" s="164"/>
      <c r="C874" s="164"/>
      <c r="D874" s="164"/>
      <c r="E874" s="164"/>
      <c r="F874" s="164"/>
      <c r="G874" s="164"/>
      <c r="H874" s="164"/>
      <c r="I874" s="164"/>
      <c r="J874" s="164"/>
      <c r="K874" s="164"/>
      <c r="L874" s="164"/>
      <c r="M874" s="164"/>
      <c r="N874" s="164"/>
      <c r="O874" s="164"/>
      <c r="P874" s="164"/>
      <c r="Q874" s="164"/>
      <c r="R874" s="164"/>
      <c r="S874" s="164"/>
      <c r="T874" s="164"/>
      <c r="U874" s="164"/>
      <c r="V874" s="164"/>
      <c r="W874" s="164"/>
      <c r="X874" s="164"/>
      <c r="Y874" s="164"/>
      <c r="Z874" s="164"/>
    </row>
    <row r="875" ht="13.5" customHeight="1">
      <c r="A875" s="164"/>
      <c r="B875" s="164"/>
      <c r="C875" s="164"/>
      <c r="D875" s="164"/>
      <c r="E875" s="164"/>
      <c r="F875" s="164"/>
      <c r="G875" s="164"/>
      <c r="H875" s="164"/>
      <c r="I875" s="164"/>
      <c r="J875" s="164"/>
      <c r="K875" s="164"/>
      <c r="L875" s="164"/>
      <c r="M875" s="164"/>
      <c r="N875" s="164"/>
      <c r="O875" s="164"/>
      <c r="P875" s="164"/>
      <c r="Q875" s="164"/>
      <c r="R875" s="164"/>
      <c r="S875" s="164"/>
      <c r="T875" s="164"/>
      <c r="U875" s="164"/>
      <c r="V875" s="164"/>
      <c r="W875" s="164"/>
      <c r="X875" s="164"/>
      <c r="Y875" s="164"/>
      <c r="Z875" s="164"/>
    </row>
    <row r="876" ht="13.5" customHeight="1">
      <c r="A876" s="164"/>
      <c r="B876" s="164"/>
      <c r="C876" s="164"/>
      <c r="D876" s="164"/>
      <c r="E876" s="164"/>
      <c r="F876" s="164"/>
      <c r="G876" s="164"/>
      <c r="H876" s="164"/>
      <c r="I876" s="164"/>
      <c r="J876" s="164"/>
      <c r="K876" s="164"/>
      <c r="L876" s="164"/>
      <c r="M876" s="164"/>
      <c r="N876" s="164"/>
      <c r="O876" s="164"/>
      <c r="P876" s="164"/>
      <c r="Q876" s="164"/>
      <c r="R876" s="164"/>
      <c r="S876" s="164"/>
      <c r="T876" s="164"/>
      <c r="U876" s="164"/>
      <c r="V876" s="164"/>
      <c r="W876" s="164"/>
      <c r="X876" s="164"/>
      <c r="Y876" s="164"/>
      <c r="Z876" s="164"/>
    </row>
    <row r="877" ht="13.5" customHeight="1">
      <c r="A877" s="164"/>
      <c r="B877" s="164"/>
      <c r="C877" s="164"/>
      <c r="D877" s="164"/>
      <c r="E877" s="164"/>
      <c r="F877" s="164"/>
      <c r="G877" s="164"/>
      <c r="H877" s="164"/>
      <c r="I877" s="164"/>
      <c r="J877" s="164"/>
      <c r="K877" s="164"/>
      <c r="L877" s="164"/>
      <c r="M877" s="164"/>
      <c r="N877" s="164"/>
      <c r="O877" s="164"/>
      <c r="P877" s="164"/>
      <c r="Q877" s="164"/>
      <c r="R877" s="164"/>
      <c r="S877" s="164"/>
      <c r="T877" s="164"/>
      <c r="U877" s="164"/>
      <c r="V877" s="164"/>
      <c r="W877" s="164"/>
      <c r="X877" s="164"/>
      <c r="Y877" s="164"/>
      <c r="Z877" s="164"/>
    </row>
    <row r="878" ht="13.5" customHeight="1">
      <c r="A878" s="164"/>
      <c r="B878" s="164"/>
      <c r="C878" s="164"/>
      <c r="D878" s="164"/>
      <c r="E878" s="164"/>
      <c r="F878" s="164"/>
      <c r="G878" s="164"/>
      <c r="H878" s="164"/>
      <c r="I878" s="164"/>
      <c r="J878" s="164"/>
      <c r="K878" s="164"/>
      <c r="L878" s="164"/>
      <c r="M878" s="164"/>
      <c r="N878" s="164"/>
      <c r="O878" s="164"/>
      <c r="P878" s="164"/>
      <c r="Q878" s="164"/>
      <c r="R878" s="164"/>
      <c r="S878" s="164"/>
      <c r="T878" s="164"/>
      <c r="U878" s="164"/>
      <c r="V878" s="164"/>
      <c r="W878" s="164"/>
      <c r="X878" s="164"/>
      <c r="Y878" s="164"/>
      <c r="Z878" s="164"/>
    </row>
    <row r="879" ht="13.5" customHeight="1">
      <c r="A879" s="164"/>
      <c r="B879" s="164"/>
      <c r="C879" s="164"/>
      <c r="D879" s="164"/>
      <c r="E879" s="164"/>
      <c r="F879" s="164"/>
      <c r="G879" s="164"/>
      <c r="H879" s="164"/>
      <c r="I879" s="164"/>
      <c r="J879" s="164"/>
      <c r="K879" s="164"/>
      <c r="L879" s="164"/>
      <c r="M879" s="164"/>
      <c r="N879" s="164"/>
      <c r="O879" s="164"/>
      <c r="P879" s="164"/>
      <c r="Q879" s="164"/>
      <c r="R879" s="164"/>
      <c r="S879" s="164"/>
      <c r="T879" s="164"/>
      <c r="U879" s="164"/>
      <c r="V879" s="164"/>
      <c r="W879" s="164"/>
      <c r="X879" s="164"/>
      <c r="Y879" s="164"/>
      <c r="Z879" s="164"/>
    </row>
    <row r="880" ht="13.5" customHeight="1">
      <c r="A880" s="164"/>
      <c r="B880" s="164"/>
      <c r="C880" s="164"/>
      <c r="D880" s="164"/>
      <c r="E880" s="164"/>
      <c r="F880" s="164"/>
      <c r="G880" s="164"/>
      <c r="H880" s="164"/>
      <c r="I880" s="164"/>
      <c r="J880" s="164"/>
      <c r="K880" s="164"/>
      <c r="L880" s="164"/>
      <c r="M880" s="164"/>
      <c r="N880" s="164"/>
      <c r="O880" s="164"/>
      <c r="P880" s="164"/>
      <c r="Q880" s="164"/>
      <c r="R880" s="164"/>
      <c r="S880" s="164"/>
      <c r="T880" s="164"/>
      <c r="U880" s="164"/>
      <c r="V880" s="164"/>
      <c r="W880" s="164"/>
      <c r="X880" s="164"/>
      <c r="Y880" s="164"/>
      <c r="Z880" s="164"/>
    </row>
    <row r="881" ht="13.5" customHeight="1">
      <c r="A881" s="164"/>
      <c r="B881" s="164"/>
      <c r="C881" s="164"/>
      <c r="D881" s="164"/>
      <c r="E881" s="164"/>
      <c r="F881" s="164"/>
      <c r="G881" s="164"/>
      <c r="H881" s="164"/>
      <c r="I881" s="164"/>
      <c r="J881" s="164"/>
      <c r="K881" s="164"/>
      <c r="L881" s="164"/>
      <c r="M881" s="164"/>
      <c r="N881" s="164"/>
      <c r="O881" s="164"/>
      <c r="P881" s="164"/>
      <c r="Q881" s="164"/>
      <c r="R881" s="164"/>
      <c r="S881" s="164"/>
      <c r="T881" s="164"/>
      <c r="U881" s="164"/>
      <c r="V881" s="164"/>
      <c r="W881" s="164"/>
      <c r="X881" s="164"/>
      <c r="Y881" s="164"/>
      <c r="Z881" s="164"/>
    </row>
    <row r="882" ht="13.5" customHeight="1">
      <c r="A882" s="164"/>
      <c r="B882" s="164"/>
      <c r="C882" s="164"/>
      <c r="D882" s="164"/>
      <c r="E882" s="164"/>
      <c r="F882" s="164"/>
      <c r="G882" s="164"/>
      <c r="H882" s="164"/>
      <c r="I882" s="164"/>
      <c r="J882" s="164"/>
      <c r="K882" s="164"/>
      <c r="L882" s="164"/>
      <c r="M882" s="164"/>
      <c r="N882" s="164"/>
      <c r="O882" s="164"/>
      <c r="P882" s="164"/>
      <c r="Q882" s="164"/>
      <c r="R882" s="164"/>
      <c r="S882" s="164"/>
      <c r="T882" s="164"/>
      <c r="U882" s="164"/>
      <c r="V882" s="164"/>
      <c r="W882" s="164"/>
      <c r="X882" s="164"/>
      <c r="Y882" s="164"/>
      <c r="Z882" s="164"/>
    </row>
    <row r="883" ht="13.5" customHeight="1">
      <c r="A883" s="164"/>
      <c r="B883" s="164"/>
      <c r="C883" s="164"/>
      <c r="D883" s="164"/>
      <c r="E883" s="164"/>
      <c r="F883" s="164"/>
      <c r="G883" s="164"/>
      <c r="H883" s="164"/>
      <c r="I883" s="164"/>
      <c r="J883" s="164"/>
      <c r="K883" s="164"/>
      <c r="L883" s="164"/>
      <c r="M883" s="164"/>
      <c r="N883" s="164"/>
      <c r="O883" s="164"/>
      <c r="P883" s="164"/>
      <c r="Q883" s="164"/>
      <c r="R883" s="164"/>
      <c r="S883" s="164"/>
      <c r="T883" s="164"/>
      <c r="U883" s="164"/>
      <c r="V883" s="164"/>
      <c r="W883" s="164"/>
      <c r="X883" s="164"/>
      <c r="Y883" s="164"/>
      <c r="Z883" s="164"/>
    </row>
    <row r="884" ht="13.5" customHeight="1">
      <c r="A884" s="164"/>
      <c r="B884" s="164"/>
      <c r="C884" s="164"/>
      <c r="D884" s="164"/>
      <c r="E884" s="164"/>
      <c r="F884" s="164"/>
      <c r="G884" s="164"/>
      <c r="H884" s="164"/>
      <c r="I884" s="164"/>
      <c r="J884" s="164"/>
      <c r="K884" s="164"/>
      <c r="L884" s="164"/>
      <c r="M884" s="164"/>
      <c r="N884" s="164"/>
      <c r="O884" s="164"/>
      <c r="P884" s="164"/>
      <c r="Q884" s="164"/>
      <c r="R884" s="164"/>
      <c r="S884" s="164"/>
      <c r="T884" s="164"/>
      <c r="U884" s="164"/>
      <c r="V884" s="164"/>
      <c r="W884" s="164"/>
      <c r="X884" s="164"/>
      <c r="Y884" s="164"/>
      <c r="Z884" s="164"/>
    </row>
    <row r="885" ht="13.5" customHeight="1">
      <c r="A885" s="164"/>
      <c r="B885" s="164"/>
      <c r="C885" s="164"/>
      <c r="D885" s="164"/>
      <c r="E885" s="164"/>
      <c r="F885" s="164"/>
      <c r="G885" s="164"/>
      <c r="H885" s="164"/>
      <c r="I885" s="164"/>
      <c r="J885" s="164"/>
      <c r="K885" s="164"/>
      <c r="L885" s="164"/>
      <c r="M885" s="164"/>
      <c r="N885" s="164"/>
      <c r="O885" s="164"/>
      <c r="P885" s="164"/>
      <c r="Q885" s="164"/>
      <c r="R885" s="164"/>
      <c r="S885" s="164"/>
      <c r="T885" s="164"/>
      <c r="U885" s="164"/>
      <c r="V885" s="164"/>
      <c r="W885" s="164"/>
      <c r="X885" s="164"/>
      <c r="Y885" s="164"/>
      <c r="Z885" s="164"/>
    </row>
    <row r="886" ht="13.5" customHeight="1">
      <c r="A886" s="164"/>
      <c r="B886" s="164"/>
      <c r="C886" s="164"/>
      <c r="D886" s="164"/>
      <c r="E886" s="164"/>
      <c r="F886" s="164"/>
      <c r="G886" s="164"/>
      <c r="H886" s="164"/>
      <c r="I886" s="164"/>
      <c r="J886" s="164"/>
      <c r="K886" s="164"/>
      <c r="L886" s="164"/>
      <c r="M886" s="164"/>
      <c r="N886" s="164"/>
      <c r="O886" s="164"/>
      <c r="P886" s="164"/>
      <c r="Q886" s="164"/>
      <c r="R886" s="164"/>
      <c r="S886" s="164"/>
      <c r="T886" s="164"/>
      <c r="U886" s="164"/>
      <c r="V886" s="164"/>
      <c r="W886" s="164"/>
      <c r="X886" s="164"/>
      <c r="Y886" s="164"/>
      <c r="Z886" s="164"/>
    </row>
    <row r="887" ht="13.5" customHeight="1">
      <c r="A887" s="164"/>
      <c r="B887" s="164"/>
      <c r="C887" s="164"/>
      <c r="D887" s="164"/>
      <c r="E887" s="164"/>
      <c r="F887" s="164"/>
      <c r="G887" s="164"/>
      <c r="H887" s="164"/>
      <c r="I887" s="164"/>
      <c r="J887" s="164"/>
      <c r="K887" s="164"/>
      <c r="L887" s="164"/>
      <c r="M887" s="164"/>
      <c r="N887" s="164"/>
      <c r="O887" s="164"/>
      <c r="P887" s="164"/>
      <c r="Q887" s="164"/>
      <c r="R887" s="164"/>
      <c r="S887" s="164"/>
      <c r="T887" s="164"/>
      <c r="U887" s="164"/>
      <c r="V887" s="164"/>
      <c r="W887" s="164"/>
      <c r="X887" s="164"/>
      <c r="Y887" s="164"/>
      <c r="Z887" s="164"/>
    </row>
    <row r="888" ht="13.5" customHeight="1">
      <c r="A888" s="164"/>
      <c r="B888" s="164"/>
      <c r="C888" s="164"/>
      <c r="D888" s="164"/>
      <c r="E888" s="164"/>
      <c r="F888" s="164"/>
      <c r="G888" s="164"/>
      <c r="H888" s="164"/>
      <c r="I888" s="164"/>
      <c r="J888" s="164"/>
      <c r="K888" s="164"/>
      <c r="L888" s="164"/>
      <c r="M888" s="164"/>
      <c r="N888" s="164"/>
      <c r="O888" s="164"/>
      <c r="P888" s="164"/>
      <c r="Q888" s="164"/>
      <c r="R888" s="164"/>
      <c r="S888" s="164"/>
      <c r="T888" s="164"/>
      <c r="U888" s="164"/>
      <c r="V888" s="164"/>
      <c r="W888" s="164"/>
      <c r="X888" s="164"/>
      <c r="Y888" s="164"/>
      <c r="Z888" s="164"/>
    </row>
    <row r="889" ht="13.5" customHeight="1">
      <c r="A889" s="164"/>
      <c r="B889" s="164"/>
      <c r="C889" s="164"/>
      <c r="D889" s="164"/>
      <c r="E889" s="164"/>
      <c r="F889" s="164"/>
      <c r="G889" s="164"/>
      <c r="H889" s="164"/>
      <c r="I889" s="164"/>
      <c r="J889" s="164"/>
      <c r="K889" s="164"/>
      <c r="L889" s="164"/>
      <c r="M889" s="164"/>
      <c r="N889" s="164"/>
      <c r="O889" s="164"/>
      <c r="P889" s="164"/>
      <c r="Q889" s="164"/>
      <c r="R889" s="164"/>
      <c r="S889" s="164"/>
      <c r="T889" s="164"/>
      <c r="U889" s="164"/>
      <c r="V889" s="164"/>
      <c r="W889" s="164"/>
      <c r="X889" s="164"/>
      <c r="Y889" s="164"/>
      <c r="Z889" s="164"/>
    </row>
    <row r="890" ht="13.5" customHeight="1">
      <c r="A890" s="164"/>
      <c r="B890" s="164"/>
      <c r="C890" s="164"/>
      <c r="D890" s="164"/>
      <c r="E890" s="164"/>
      <c r="F890" s="164"/>
      <c r="G890" s="164"/>
      <c r="H890" s="164"/>
      <c r="I890" s="164"/>
      <c r="J890" s="164"/>
      <c r="K890" s="164"/>
      <c r="L890" s="164"/>
      <c r="M890" s="164"/>
      <c r="N890" s="164"/>
      <c r="O890" s="164"/>
      <c r="P890" s="164"/>
      <c r="Q890" s="164"/>
      <c r="R890" s="164"/>
      <c r="S890" s="164"/>
      <c r="T890" s="164"/>
      <c r="U890" s="164"/>
      <c r="V890" s="164"/>
      <c r="W890" s="164"/>
      <c r="X890" s="164"/>
      <c r="Y890" s="164"/>
      <c r="Z890" s="164"/>
    </row>
    <row r="891" ht="13.5" customHeight="1">
      <c r="A891" s="164"/>
      <c r="B891" s="164"/>
      <c r="C891" s="164"/>
      <c r="D891" s="164"/>
      <c r="E891" s="164"/>
      <c r="F891" s="164"/>
      <c r="G891" s="164"/>
      <c r="H891" s="164"/>
      <c r="I891" s="164"/>
      <c r="J891" s="164"/>
      <c r="K891" s="164"/>
      <c r="L891" s="164"/>
      <c r="M891" s="164"/>
      <c r="N891" s="164"/>
      <c r="O891" s="164"/>
      <c r="P891" s="164"/>
      <c r="Q891" s="164"/>
      <c r="R891" s="164"/>
      <c r="S891" s="164"/>
      <c r="T891" s="164"/>
      <c r="U891" s="164"/>
      <c r="V891" s="164"/>
      <c r="W891" s="164"/>
      <c r="X891" s="164"/>
      <c r="Y891" s="164"/>
      <c r="Z891" s="164"/>
    </row>
    <row r="892" ht="13.5" customHeight="1">
      <c r="A892" s="164"/>
      <c r="B892" s="164"/>
      <c r="C892" s="164"/>
      <c r="D892" s="164"/>
      <c r="E892" s="164"/>
      <c r="F892" s="164"/>
      <c r="G892" s="164"/>
      <c r="H892" s="164"/>
      <c r="I892" s="164"/>
      <c r="J892" s="164"/>
      <c r="K892" s="164"/>
      <c r="L892" s="164"/>
      <c r="M892" s="164"/>
      <c r="N892" s="164"/>
      <c r="O892" s="164"/>
      <c r="P892" s="164"/>
      <c r="Q892" s="164"/>
      <c r="R892" s="164"/>
      <c r="S892" s="164"/>
      <c r="T892" s="164"/>
      <c r="U892" s="164"/>
      <c r="V892" s="164"/>
      <c r="W892" s="164"/>
      <c r="X892" s="164"/>
      <c r="Y892" s="164"/>
      <c r="Z892" s="164"/>
    </row>
    <row r="893" ht="13.5" customHeight="1">
      <c r="A893" s="164"/>
      <c r="B893" s="164"/>
      <c r="C893" s="164"/>
      <c r="D893" s="164"/>
      <c r="E893" s="164"/>
      <c r="F893" s="164"/>
      <c r="G893" s="164"/>
      <c r="H893" s="164"/>
      <c r="I893" s="164"/>
      <c r="J893" s="164"/>
      <c r="K893" s="164"/>
      <c r="L893" s="164"/>
      <c r="M893" s="164"/>
      <c r="N893" s="164"/>
      <c r="O893" s="164"/>
      <c r="P893" s="164"/>
      <c r="Q893" s="164"/>
      <c r="R893" s="164"/>
      <c r="S893" s="164"/>
      <c r="T893" s="164"/>
      <c r="U893" s="164"/>
      <c r="V893" s="164"/>
      <c r="W893" s="164"/>
      <c r="X893" s="164"/>
      <c r="Y893" s="164"/>
      <c r="Z893" s="164"/>
    </row>
    <row r="894" ht="13.5" customHeight="1">
      <c r="A894" s="164"/>
      <c r="B894" s="164"/>
      <c r="C894" s="164"/>
      <c r="D894" s="164"/>
      <c r="E894" s="164"/>
      <c r="F894" s="164"/>
      <c r="G894" s="164"/>
      <c r="H894" s="164"/>
      <c r="I894" s="164"/>
      <c r="J894" s="164"/>
      <c r="K894" s="164"/>
      <c r="L894" s="164"/>
      <c r="M894" s="164"/>
      <c r="N894" s="164"/>
      <c r="O894" s="164"/>
      <c r="P894" s="164"/>
      <c r="Q894" s="164"/>
      <c r="R894" s="164"/>
      <c r="S894" s="164"/>
      <c r="T894" s="164"/>
      <c r="U894" s="164"/>
      <c r="V894" s="164"/>
      <c r="W894" s="164"/>
      <c r="X894" s="164"/>
      <c r="Y894" s="164"/>
      <c r="Z894" s="164"/>
    </row>
    <row r="895" ht="13.5" customHeight="1">
      <c r="A895" s="164"/>
      <c r="B895" s="164"/>
      <c r="C895" s="164"/>
      <c r="D895" s="164"/>
      <c r="E895" s="164"/>
      <c r="F895" s="164"/>
      <c r="G895" s="164"/>
      <c r="H895" s="164"/>
      <c r="I895" s="164"/>
      <c r="J895" s="164"/>
      <c r="K895" s="164"/>
      <c r="L895" s="164"/>
      <c r="M895" s="164"/>
      <c r="N895" s="164"/>
      <c r="O895" s="164"/>
      <c r="P895" s="164"/>
      <c r="Q895" s="164"/>
      <c r="R895" s="164"/>
      <c r="S895" s="164"/>
      <c r="T895" s="164"/>
      <c r="U895" s="164"/>
      <c r="V895" s="164"/>
      <c r="W895" s="164"/>
      <c r="X895" s="164"/>
      <c r="Y895" s="164"/>
      <c r="Z895" s="164"/>
    </row>
    <row r="896" ht="13.5" customHeight="1">
      <c r="A896" s="164"/>
      <c r="B896" s="164"/>
      <c r="C896" s="164"/>
      <c r="D896" s="164"/>
      <c r="E896" s="164"/>
      <c r="F896" s="164"/>
      <c r="G896" s="164"/>
      <c r="H896" s="164"/>
      <c r="I896" s="164"/>
      <c r="J896" s="164"/>
      <c r="K896" s="164"/>
      <c r="L896" s="164"/>
      <c r="M896" s="164"/>
      <c r="N896" s="164"/>
      <c r="O896" s="164"/>
      <c r="P896" s="164"/>
      <c r="Q896" s="164"/>
      <c r="R896" s="164"/>
      <c r="S896" s="164"/>
      <c r="T896" s="164"/>
      <c r="U896" s="164"/>
      <c r="V896" s="164"/>
      <c r="W896" s="164"/>
      <c r="X896" s="164"/>
      <c r="Y896" s="164"/>
      <c r="Z896" s="164"/>
    </row>
    <row r="897" ht="13.5" customHeight="1">
      <c r="A897" s="164"/>
      <c r="B897" s="164"/>
      <c r="C897" s="164"/>
      <c r="D897" s="164"/>
      <c r="E897" s="164"/>
      <c r="F897" s="164"/>
      <c r="G897" s="164"/>
      <c r="H897" s="164"/>
      <c r="I897" s="164"/>
      <c r="J897" s="164"/>
      <c r="K897" s="164"/>
      <c r="L897" s="164"/>
      <c r="M897" s="164"/>
      <c r="N897" s="164"/>
      <c r="O897" s="164"/>
      <c r="P897" s="164"/>
      <c r="Q897" s="164"/>
      <c r="R897" s="164"/>
      <c r="S897" s="164"/>
      <c r="T897" s="164"/>
      <c r="U897" s="164"/>
      <c r="V897" s="164"/>
      <c r="W897" s="164"/>
      <c r="X897" s="164"/>
      <c r="Y897" s="164"/>
      <c r="Z897" s="164"/>
    </row>
    <row r="898" ht="13.5" customHeight="1">
      <c r="A898" s="164"/>
      <c r="B898" s="164"/>
      <c r="C898" s="164"/>
      <c r="D898" s="164"/>
      <c r="E898" s="164"/>
      <c r="F898" s="164"/>
      <c r="G898" s="164"/>
      <c r="H898" s="164"/>
      <c r="I898" s="164"/>
      <c r="J898" s="164"/>
      <c r="K898" s="164"/>
      <c r="L898" s="164"/>
      <c r="M898" s="164"/>
      <c r="N898" s="164"/>
      <c r="O898" s="164"/>
      <c r="P898" s="164"/>
      <c r="Q898" s="164"/>
      <c r="R898" s="164"/>
      <c r="S898" s="164"/>
      <c r="T898" s="164"/>
      <c r="U898" s="164"/>
      <c r="V898" s="164"/>
      <c r="W898" s="164"/>
      <c r="X898" s="164"/>
      <c r="Y898" s="164"/>
      <c r="Z898" s="164"/>
    </row>
    <row r="899" ht="13.5" customHeight="1">
      <c r="A899" s="164"/>
      <c r="B899" s="164"/>
      <c r="C899" s="164"/>
      <c r="D899" s="164"/>
      <c r="E899" s="164"/>
      <c r="F899" s="164"/>
      <c r="G899" s="164"/>
      <c r="H899" s="164"/>
      <c r="I899" s="164"/>
      <c r="J899" s="164"/>
      <c r="K899" s="164"/>
      <c r="L899" s="164"/>
      <c r="M899" s="164"/>
      <c r="N899" s="164"/>
      <c r="O899" s="164"/>
      <c r="P899" s="164"/>
      <c r="Q899" s="164"/>
      <c r="R899" s="164"/>
      <c r="S899" s="164"/>
      <c r="T899" s="164"/>
      <c r="U899" s="164"/>
      <c r="V899" s="164"/>
      <c r="W899" s="164"/>
      <c r="X899" s="164"/>
      <c r="Y899" s="164"/>
      <c r="Z899" s="164"/>
    </row>
    <row r="900" ht="13.5" customHeight="1">
      <c r="A900" s="164"/>
      <c r="B900" s="164"/>
      <c r="C900" s="164"/>
      <c r="D900" s="164"/>
      <c r="E900" s="164"/>
      <c r="F900" s="164"/>
      <c r="G900" s="164"/>
      <c r="H900" s="164"/>
      <c r="I900" s="164"/>
      <c r="J900" s="164"/>
      <c r="K900" s="164"/>
      <c r="L900" s="164"/>
      <c r="M900" s="164"/>
      <c r="N900" s="164"/>
      <c r="O900" s="164"/>
      <c r="P900" s="164"/>
      <c r="Q900" s="164"/>
      <c r="R900" s="164"/>
      <c r="S900" s="164"/>
      <c r="T900" s="164"/>
      <c r="U900" s="164"/>
      <c r="V900" s="164"/>
      <c r="W900" s="164"/>
      <c r="X900" s="164"/>
      <c r="Y900" s="164"/>
      <c r="Z900" s="164"/>
    </row>
    <row r="901" ht="13.5" customHeight="1">
      <c r="A901" s="164"/>
      <c r="B901" s="164"/>
      <c r="C901" s="164"/>
      <c r="D901" s="164"/>
      <c r="E901" s="164"/>
      <c r="F901" s="164"/>
      <c r="G901" s="164"/>
      <c r="H901" s="164"/>
      <c r="I901" s="164"/>
      <c r="J901" s="164"/>
      <c r="K901" s="164"/>
      <c r="L901" s="164"/>
      <c r="M901" s="164"/>
      <c r="N901" s="164"/>
      <c r="O901" s="164"/>
      <c r="P901" s="164"/>
      <c r="Q901" s="164"/>
      <c r="R901" s="164"/>
      <c r="S901" s="164"/>
      <c r="T901" s="164"/>
      <c r="U901" s="164"/>
      <c r="V901" s="164"/>
      <c r="W901" s="164"/>
      <c r="X901" s="164"/>
      <c r="Y901" s="164"/>
      <c r="Z901" s="164"/>
    </row>
    <row r="902" ht="13.5" customHeight="1">
      <c r="A902" s="164"/>
      <c r="B902" s="164"/>
      <c r="C902" s="164"/>
      <c r="D902" s="164"/>
      <c r="E902" s="164"/>
      <c r="F902" s="164"/>
      <c r="G902" s="164"/>
      <c r="H902" s="164"/>
      <c r="I902" s="164"/>
      <c r="J902" s="164"/>
      <c r="K902" s="164"/>
      <c r="L902" s="164"/>
      <c r="M902" s="164"/>
      <c r="N902" s="164"/>
      <c r="O902" s="164"/>
      <c r="P902" s="164"/>
      <c r="Q902" s="164"/>
      <c r="R902" s="164"/>
      <c r="S902" s="164"/>
      <c r="T902" s="164"/>
      <c r="U902" s="164"/>
      <c r="V902" s="164"/>
      <c r="W902" s="164"/>
      <c r="X902" s="164"/>
      <c r="Y902" s="164"/>
      <c r="Z902" s="164"/>
    </row>
    <row r="903" ht="13.5" customHeight="1">
      <c r="A903" s="164"/>
      <c r="B903" s="164"/>
      <c r="C903" s="164"/>
      <c r="D903" s="164"/>
      <c r="E903" s="164"/>
      <c r="F903" s="164"/>
      <c r="G903" s="164"/>
      <c r="H903" s="164"/>
      <c r="I903" s="164"/>
      <c r="J903" s="164"/>
      <c r="K903" s="164"/>
      <c r="L903" s="164"/>
      <c r="M903" s="164"/>
      <c r="N903" s="164"/>
      <c r="O903" s="164"/>
      <c r="P903" s="164"/>
      <c r="Q903" s="164"/>
      <c r="R903" s="164"/>
      <c r="S903" s="164"/>
      <c r="T903" s="164"/>
      <c r="U903" s="164"/>
      <c r="V903" s="164"/>
      <c r="W903" s="164"/>
      <c r="X903" s="164"/>
      <c r="Y903" s="164"/>
      <c r="Z903" s="164"/>
    </row>
    <row r="904" ht="13.5" customHeight="1">
      <c r="A904" s="164"/>
      <c r="B904" s="164"/>
      <c r="C904" s="164"/>
      <c r="D904" s="164"/>
      <c r="E904" s="164"/>
      <c r="F904" s="164"/>
      <c r="G904" s="164"/>
      <c r="H904" s="164"/>
      <c r="I904" s="164"/>
      <c r="J904" s="164"/>
      <c r="K904" s="164"/>
      <c r="L904" s="164"/>
      <c r="M904" s="164"/>
      <c r="N904" s="164"/>
      <c r="O904" s="164"/>
      <c r="P904" s="164"/>
      <c r="Q904" s="164"/>
      <c r="R904" s="164"/>
      <c r="S904" s="164"/>
      <c r="T904" s="164"/>
      <c r="U904" s="164"/>
      <c r="V904" s="164"/>
      <c r="W904" s="164"/>
      <c r="X904" s="164"/>
      <c r="Y904" s="164"/>
      <c r="Z904" s="164"/>
    </row>
    <row r="905" ht="13.5" customHeight="1">
      <c r="A905" s="164"/>
      <c r="B905" s="164"/>
      <c r="C905" s="164"/>
      <c r="D905" s="164"/>
      <c r="E905" s="164"/>
      <c r="F905" s="164"/>
      <c r="G905" s="164"/>
      <c r="H905" s="164"/>
      <c r="I905" s="164"/>
      <c r="J905" s="164"/>
      <c r="K905" s="164"/>
      <c r="L905" s="164"/>
      <c r="M905" s="164"/>
      <c r="N905" s="164"/>
      <c r="O905" s="164"/>
      <c r="P905" s="164"/>
      <c r="Q905" s="164"/>
      <c r="R905" s="164"/>
      <c r="S905" s="164"/>
      <c r="T905" s="164"/>
      <c r="U905" s="164"/>
      <c r="V905" s="164"/>
      <c r="W905" s="164"/>
      <c r="X905" s="164"/>
      <c r="Y905" s="164"/>
      <c r="Z905" s="164"/>
    </row>
    <row r="906" ht="13.5" customHeight="1">
      <c r="A906" s="164"/>
      <c r="B906" s="164"/>
      <c r="C906" s="164"/>
      <c r="D906" s="164"/>
      <c r="E906" s="164"/>
      <c r="F906" s="164"/>
      <c r="G906" s="164"/>
      <c r="H906" s="164"/>
      <c r="I906" s="164"/>
      <c r="J906" s="164"/>
      <c r="K906" s="164"/>
      <c r="L906" s="164"/>
      <c r="M906" s="164"/>
      <c r="N906" s="164"/>
      <c r="O906" s="164"/>
      <c r="P906" s="164"/>
      <c r="Q906" s="164"/>
      <c r="R906" s="164"/>
      <c r="S906" s="164"/>
      <c r="T906" s="164"/>
      <c r="U906" s="164"/>
      <c r="V906" s="164"/>
      <c r="W906" s="164"/>
      <c r="X906" s="164"/>
      <c r="Y906" s="164"/>
      <c r="Z906" s="164"/>
    </row>
    <row r="907" ht="13.5" customHeight="1">
      <c r="A907" s="164"/>
      <c r="B907" s="164"/>
      <c r="C907" s="164"/>
      <c r="D907" s="164"/>
      <c r="E907" s="164"/>
      <c r="F907" s="164"/>
      <c r="G907" s="164"/>
      <c r="H907" s="164"/>
      <c r="I907" s="164"/>
      <c r="J907" s="164"/>
      <c r="K907" s="164"/>
      <c r="L907" s="164"/>
      <c r="M907" s="164"/>
      <c r="N907" s="164"/>
      <c r="O907" s="164"/>
      <c r="P907" s="164"/>
      <c r="Q907" s="164"/>
      <c r="R907" s="164"/>
      <c r="S907" s="164"/>
      <c r="T907" s="164"/>
      <c r="U907" s="164"/>
      <c r="V907" s="164"/>
      <c r="W907" s="164"/>
      <c r="X907" s="164"/>
      <c r="Y907" s="164"/>
      <c r="Z907" s="164"/>
    </row>
    <row r="908" ht="13.5" customHeight="1">
      <c r="A908" s="164"/>
      <c r="B908" s="164"/>
      <c r="C908" s="164"/>
      <c r="D908" s="164"/>
      <c r="E908" s="164"/>
      <c r="F908" s="164"/>
      <c r="G908" s="164"/>
      <c r="H908" s="164"/>
      <c r="I908" s="164"/>
      <c r="J908" s="164"/>
      <c r="K908" s="164"/>
      <c r="L908" s="164"/>
      <c r="M908" s="164"/>
      <c r="N908" s="164"/>
      <c r="O908" s="164"/>
      <c r="P908" s="164"/>
      <c r="Q908" s="164"/>
      <c r="R908" s="164"/>
      <c r="S908" s="164"/>
      <c r="T908" s="164"/>
      <c r="U908" s="164"/>
      <c r="V908" s="164"/>
      <c r="W908" s="164"/>
      <c r="X908" s="164"/>
      <c r="Y908" s="164"/>
      <c r="Z908" s="164"/>
    </row>
    <row r="909" ht="13.5" customHeight="1">
      <c r="A909" s="164"/>
      <c r="B909" s="164"/>
      <c r="C909" s="164"/>
      <c r="D909" s="164"/>
      <c r="E909" s="164"/>
      <c r="F909" s="164"/>
      <c r="G909" s="164"/>
      <c r="H909" s="164"/>
      <c r="I909" s="164"/>
      <c r="J909" s="164"/>
      <c r="K909" s="164"/>
      <c r="L909" s="164"/>
      <c r="M909" s="164"/>
      <c r="N909" s="164"/>
      <c r="O909" s="164"/>
      <c r="P909" s="164"/>
      <c r="Q909" s="164"/>
      <c r="R909" s="164"/>
      <c r="S909" s="164"/>
      <c r="T909" s="164"/>
      <c r="U909" s="164"/>
      <c r="V909" s="164"/>
      <c r="W909" s="164"/>
      <c r="X909" s="164"/>
      <c r="Y909" s="164"/>
      <c r="Z909" s="164"/>
    </row>
    <row r="910" ht="13.5" customHeight="1">
      <c r="A910" s="164"/>
      <c r="B910" s="164"/>
      <c r="C910" s="164"/>
      <c r="D910" s="164"/>
      <c r="E910" s="164"/>
      <c r="F910" s="164"/>
      <c r="G910" s="164"/>
      <c r="H910" s="164"/>
      <c r="I910" s="164"/>
      <c r="J910" s="164"/>
      <c r="K910" s="164"/>
      <c r="L910" s="164"/>
      <c r="M910" s="164"/>
      <c r="N910" s="164"/>
      <c r="O910" s="164"/>
      <c r="P910" s="164"/>
      <c r="Q910" s="164"/>
      <c r="R910" s="164"/>
      <c r="S910" s="164"/>
      <c r="T910" s="164"/>
      <c r="U910" s="164"/>
      <c r="V910" s="164"/>
      <c r="W910" s="164"/>
      <c r="X910" s="164"/>
      <c r="Y910" s="164"/>
      <c r="Z910" s="164"/>
    </row>
    <row r="911" ht="13.5" customHeight="1">
      <c r="A911" s="164"/>
      <c r="B911" s="164"/>
      <c r="C911" s="164"/>
      <c r="D911" s="164"/>
      <c r="E911" s="164"/>
      <c r="F911" s="164"/>
      <c r="G911" s="164"/>
      <c r="H911" s="164"/>
      <c r="I911" s="164"/>
      <c r="J911" s="164"/>
      <c r="K911" s="164"/>
      <c r="L911" s="164"/>
      <c r="M911" s="164"/>
      <c r="N911" s="164"/>
      <c r="O911" s="164"/>
      <c r="P911" s="164"/>
      <c r="Q911" s="164"/>
      <c r="R911" s="164"/>
      <c r="S911" s="164"/>
      <c r="T911" s="164"/>
      <c r="U911" s="164"/>
      <c r="V911" s="164"/>
      <c r="W911" s="164"/>
      <c r="X911" s="164"/>
      <c r="Y911" s="164"/>
      <c r="Z911" s="164"/>
    </row>
    <row r="912" ht="13.5" customHeight="1">
      <c r="A912" s="164"/>
      <c r="B912" s="164"/>
      <c r="C912" s="164"/>
      <c r="D912" s="164"/>
      <c r="E912" s="164"/>
      <c r="F912" s="164"/>
      <c r="G912" s="164"/>
      <c r="H912" s="164"/>
      <c r="I912" s="164"/>
      <c r="J912" s="164"/>
      <c r="K912" s="164"/>
      <c r="L912" s="164"/>
      <c r="M912" s="164"/>
      <c r="N912" s="164"/>
      <c r="O912" s="164"/>
      <c r="P912" s="164"/>
      <c r="Q912" s="164"/>
      <c r="R912" s="164"/>
      <c r="S912" s="164"/>
      <c r="T912" s="164"/>
      <c r="U912" s="164"/>
      <c r="V912" s="164"/>
      <c r="W912" s="164"/>
      <c r="X912" s="164"/>
      <c r="Y912" s="164"/>
      <c r="Z912" s="164"/>
    </row>
    <row r="913" ht="13.5" customHeight="1">
      <c r="A913" s="164"/>
      <c r="B913" s="164"/>
      <c r="C913" s="164"/>
      <c r="D913" s="164"/>
      <c r="E913" s="164"/>
      <c r="F913" s="164"/>
      <c r="G913" s="164"/>
      <c r="H913" s="164"/>
      <c r="I913" s="164"/>
      <c r="J913" s="164"/>
      <c r="K913" s="164"/>
      <c r="L913" s="164"/>
      <c r="M913" s="164"/>
      <c r="N913" s="164"/>
      <c r="O913" s="164"/>
      <c r="P913" s="164"/>
      <c r="Q913" s="164"/>
      <c r="R913" s="164"/>
      <c r="S913" s="164"/>
      <c r="T913" s="164"/>
      <c r="U913" s="164"/>
      <c r="V913" s="164"/>
      <c r="W913" s="164"/>
      <c r="X913" s="164"/>
      <c r="Y913" s="164"/>
      <c r="Z913" s="164"/>
    </row>
    <row r="914" ht="13.5" customHeight="1">
      <c r="A914" s="164"/>
      <c r="B914" s="164"/>
      <c r="C914" s="164"/>
      <c r="D914" s="164"/>
      <c r="E914" s="164"/>
      <c r="F914" s="164"/>
      <c r="G914" s="164"/>
      <c r="H914" s="164"/>
      <c r="I914" s="164"/>
      <c r="J914" s="164"/>
      <c r="K914" s="164"/>
      <c r="L914" s="164"/>
      <c r="M914" s="164"/>
      <c r="N914" s="164"/>
      <c r="O914" s="164"/>
      <c r="P914" s="164"/>
      <c r="Q914" s="164"/>
      <c r="R914" s="164"/>
      <c r="S914" s="164"/>
      <c r="T914" s="164"/>
      <c r="U914" s="164"/>
      <c r="V914" s="164"/>
      <c r="W914" s="164"/>
      <c r="X914" s="164"/>
      <c r="Y914" s="164"/>
      <c r="Z914" s="164"/>
    </row>
    <row r="915" ht="13.5" customHeight="1">
      <c r="A915" s="164"/>
      <c r="B915" s="164"/>
      <c r="C915" s="164"/>
      <c r="D915" s="164"/>
      <c r="E915" s="164"/>
      <c r="F915" s="164"/>
      <c r="G915" s="164"/>
      <c r="H915" s="164"/>
      <c r="I915" s="164"/>
      <c r="J915" s="164"/>
      <c r="K915" s="164"/>
      <c r="L915" s="164"/>
      <c r="M915" s="164"/>
      <c r="N915" s="164"/>
      <c r="O915" s="164"/>
      <c r="P915" s="164"/>
      <c r="Q915" s="164"/>
      <c r="R915" s="164"/>
      <c r="S915" s="164"/>
      <c r="T915" s="164"/>
      <c r="U915" s="164"/>
      <c r="V915" s="164"/>
      <c r="W915" s="164"/>
      <c r="X915" s="164"/>
      <c r="Y915" s="164"/>
      <c r="Z915" s="164"/>
    </row>
    <row r="916" ht="13.5" customHeight="1">
      <c r="A916" s="164"/>
      <c r="B916" s="164"/>
      <c r="C916" s="164"/>
      <c r="D916" s="164"/>
      <c r="E916" s="164"/>
      <c r="F916" s="164"/>
      <c r="G916" s="164"/>
      <c r="H916" s="164"/>
      <c r="I916" s="164"/>
      <c r="J916" s="164"/>
      <c r="K916" s="164"/>
      <c r="L916" s="164"/>
      <c r="M916" s="164"/>
      <c r="N916" s="164"/>
      <c r="O916" s="164"/>
      <c r="P916" s="164"/>
      <c r="Q916" s="164"/>
      <c r="R916" s="164"/>
      <c r="S916" s="164"/>
      <c r="T916" s="164"/>
      <c r="U916" s="164"/>
      <c r="V916" s="164"/>
      <c r="W916" s="164"/>
      <c r="X916" s="164"/>
      <c r="Y916" s="164"/>
      <c r="Z916" s="164"/>
    </row>
    <row r="917" ht="13.5" customHeight="1">
      <c r="A917" s="164"/>
      <c r="B917" s="164"/>
      <c r="C917" s="164"/>
      <c r="D917" s="164"/>
      <c r="E917" s="164"/>
      <c r="F917" s="164"/>
      <c r="G917" s="164"/>
      <c r="H917" s="164"/>
      <c r="I917" s="164"/>
      <c r="J917" s="164"/>
      <c r="K917" s="164"/>
      <c r="L917" s="164"/>
      <c r="M917" s="164"/>
      <c r="N917" s="164"/>
      <c r="O917" s="164"/>
      <c r="P917" s="164"/>
      <c r="Q917" s="164"/>
      <c r="R917" s="164"/>
      <c r="S917" s="164"/>
      <c r="T917" s="164"/>
      <c r="U917" s="164"/>
      <c r="V917" s="164"/>
      <c r="W917" s="164"/>
      <c r="X917" s="164"/>
      <c r="Y917" s="164"/>
      <c r="Z917" s="164"/>
    </row>
    <row r="918" ht="13.5" customHeight="1">
      <c r="A918" s="164"/>
      <c r="B918" s="164"/>
      <c r="C918" s="164"/>
      <c r="D918" s="164"/>
      <c r="E918" s="164"/>
      <c r="F918" s="164"/>
      <c r="G918" s="164"/>
      <c r="H918" s="164"/>
      <c r="I918" s="164"/>
      <c r="J918" s="164"/>
      <c r="K918" s="164"/>
      <c r="L918" s="164"/>
      <c r="M918" s="164"/>
      <c r="N918" s="164"/>
      <c r="O918" s="164"/>
      <c r="P918" s="164"/>
      <c r="Q918" s="164"/>
      <c r="R918" s="164"/>
      <c r="S918" s="164"/>
      <c r="T918" s="164"/>
      <c r="U918" s="164"/>
      <c r="V918" s="164"/>
      <c r="W918" s="164"/>
      <c r="X918" s="164"/>
      <c r="Y918" s="164"/>
      <c r="Z918" s="164"/>
    </row>
    <row r="919" ht="13.5" customHeight="1">
      <c r="A919" s="164"/>
      <c r="B919" s="164"/>
      <c r="C919" s="164"/>
      <c r="D919" s="164"/>
      <c r="E919" s="164"/>
      <c r="F919" s="164"/>
      <c r="G919" s="164"/>
      <c r="H919" s="164"/>
      <c r="I919" s="164"/>
      <c r="J919" s="164"/>
      <c r="K919" s="164"/>
      <c r="L919" s="164"/>
      <c r="M919" s="164"/>
      <c r="N919" s="164"/>
      <c r="O919" s="164"/>
      <c r="P919" s="164"/>
      <c r="Q919" s="164"/>
      <c r="R919" s="164"/>
      <c r="S919" s="164"/>
      <c r="T919" s="164"/>
      <c r="U919" s="164"/>
      <c r="V919" s="164"/>
      <c r="W919" s="164"/>
      <c r="X919" s="164"/>
      <c r="Y919" s="164"/>
      <c r="Z919" s="164"/>
    </row>
    <row r="920" ht="13.5" customHeight="1">
      <c r="A920" s="164"/>
      <c r="B920" s="164"/>
      <c r="C920" s="164"/>
      <c r="D920" s="164"/>
      <c r="E920" s="164"/>
      <c r="F920" s="164"/>
      <c r="G920" s="164"/>
      <c r="H920" s="164"/>
      <c r="I920" s="164"/>
      <c r="J920" s="164"/>
      <c r="K920" s="164"/>
      <c r="L920" s="164"/>
      <c r="M920" s="164"/>
      <c r="N920" s="164"/>
      <c r="O920" s="164"/>
      <c r="P920" s="164"/>
      <c r="Q920" s="164"/>
      <c r="R920" s="164"/>
      <c r="S920" s="164"/>
      <c r="T920" s="164"/>
      <c r="U920" s="164"/>
      <c r="V920" s="164"/>
      <c r="W920" s="164"/>
      <c r="X920" s="164"/>
      <c r="Y920" s="164"/>
      <c r="Z920" s="164"/>
    </row>
    <row r="921" ht="13.5" customHeight="1">
      <c r="A921" s="164"/>
      <c r="B921" s="164"/>
      <c r="C921" s="164"/>
      <c r="D921" s="164"/>
      <c r="E921" s="164"/>
      <c r="F921" s="164"/>
      <c r="G921" s="164"/>
      <c r="H921" s="164"/>
      <c r="I921" s="164"/>
      <c r="J921" s="164"/>
      <c r="K921" s="164"/>
      <c r="L921" s="164"/>
      <c r="M921" s="164"/>
      <c r="N921" s="164"/>
      <c r="O921" s="164"/>
      <c r="P921" s="164"/>
      <c r="Q921" s="164"/>
      <c r="R921" s="164"/>
      <c r="S921" s="164"/>
      <c r="T921" s="164"/>
      <c r="U921" s="164"/>
      <c r="V921" s="164"/>
      <c r="W921" s="164"/>
      <c r="X921" s="164"/>
      <c r="Y921" s="164"/>
      <c r="Z921" s="164"/>
    </row>
    <row r="922" ht="13.5" customHeight="1">
      <c r="A922" s="164"/>
      <c r="B922" s="164"/>
      <c r="C922" s="164"/>
      <c r="D922" s="164"/>
      <c r="E922" s="164"/>
      <c r="F922" s="164"/>
      <c r="G922" s="164"/>
      <c r="H922" s="164"/>
      <c r="I922" s="164"/>
      <c r="J922" s="164"/>
      <c r="K922" s="164"/>
      <c r="L922" s="164"/>
      <c r="M922" s="164"/>
      <c r="N922" s="164"/>
      <c r="O922" s="164"/>
      <c r="P922" s="164"/>
      <c r="Q922" s="164"/>
      <c r="R922" s="164"/>
      <c r="S922" s="164"/>
      <c r="T922" s="164"/>
      <c r="U922" s="164"/>
      <c r="V922" s="164"/>
      <c r="W922" s="164"/>
      <c r="X922" s="164"/>
      <c r="Y922" s="164"/>
      <c r="Z922" s="164"/>
    </row>
    <row r="923" ht="13.5" customHeight="1">
      <c r="A923" s="164"/>
      <c r="B923" s="164"/>
      <c r="C923" s="164"/>
      <c r="D923" s="164"/>
      <c r="E923" s="164"/>
      <c r="F923" s="164"/>
      <c r="G923" s="164"/>
      <c r="H923" s="164"/>
      <c r="I923" s="164"/>
      <c r="J923" s="164"/>
      <c r="K923" s="164"/>
      <c r="L923" s="164"/>
      <c r="M923" s="164"/>
      <c r="N923" s="164"/>
      <c r="O923" s="164"/>
      <c r="P923" s="164"/>
      <c r="Q923" s="164"/>
      <c r="R923" s="164"/>
      <c r="S923" s="164"/>
      <c r="T923" s="164"/>
      <c r="U923" s="164"/>
      <c r="V923" s="164"/>
      <c r="W923" s="164"/>
      <c r="X923" s="164"/>
      <c r="Y923" s="164"/>
      <c r="Z923" s="164"/>
    </row>
    <row r="924" ht="13.5" customHeight="1">
      <c r="A924" s="164"/>
      <c r="B924" s="164"/>
      <c r="C924" s="164"/>
      <c r="D924" s="164"/>
      <c r="E924" s="164"/>
      <c r="F924" s="164"/>
      <c r="G924" s="164"/>
      <c r="H924" s="164"/>
      <c r="I924" s="164"/>
      <c r="J924" s="164"/>
      <c r="K924" s="164"/>
      <c r="L924" s="164"/>
      <c r="M924" s="164"/>
      <c r="N924" s="164"/>
      <c r="O924" s="164"/>
      <c r="P924" s="164"/>
      <c r="Q924" s="164"/>
      <c r="R924" s="164"/>
      <c r="S924" s="164"/>
      <c r="T924" s="164"/>
      <c r="U924" s="164"/>
      <c r="V924" s="164"/>
      <c r="W924" s="164"/>
      <c r="X924" s="164"/>
      <c r="Y924" s="164"/>
      <c r="Z924" s="164"/>
    </row>
    <row r="925" ht="13.5" customHeight="1">
      <c r="A925" s="164"/>
      <c r="B925" s="164"/>
      <c r="C925" s="164"/>
      <c r="D925" s="164"/>
      <c r="E925" s="164"/>
      <c r="F925" s="164"/>
      <c r="G925" s="164"/>
      <c r="H925" s="164"/>
      <c r="I925" s="164"/>
      <c r="J925" s="164"/>
      <c r="K925" s="164"/>
      <c r="L925" s="164"/>
      <c r="M925" s="164"/>
      <c r="N925" s="164"/>
      <c r="O925" s="164"/>
      <c r="P925" s="164"/>
      <c r="Q925" s="164"/>
      <c r="R925" s="164"/>
      <c r="S925" s="164"/>
      <c r="T925" s="164"/>
      <c r="U925" s="164"/>
      <c r="V925" s="164"/>
      <c r="W925" s="164"/>
      <c r="X925" s="164"/>
      <c r="Y925" s="164"/>
      <c r="Z925" s="164"/>
    </row>
    <row r="926" ht="13.5" customHeight="1">
      <c r="A926" s="164"/>
      <c r="B926" s="164"/>
      <c r="C926" s="164"/>
      <c r="D926" s="164"/>
      <c r="E926" s="164"/>
      <c r="F926" s="164"/>
      <c r="G926" s="164"/>
      <c r="H926" s="164"/>
      <c r="I926" s="164"/>
      <c r="J926" s="164"/>
      <c r="K926" s="164"/>
      <c r="L926" s="164"/>
      <c r="M926" s="164"/>
      <c r="N926" s="164"/>
      <c r="O926" s="164"/>
      <c r="P926" s="164"/>
      <c r="Q926" s="164"/>
      <c r="R926" s="164"/>
      <c r="S926" s="164"/>
      <c r="T926" s="164"/>
      <c r="U926" s="164"/>
      <c r="V926" s="164"/>
      <c r="W926" s="164"/>
      <c r="X926" s="164"/>
      <c r="Y926" s="164"/>
      <c r="Z926" s="164"/>
    </row>
    <row r="927" ht="13.5" customHeight="1">
      <c r="A927" s="164"/>
      <c r="B927" s="164"/>
      <c r="C927" s="164"/>
      <c r="D927" s="164"/>
      <c r="E927" s="164"/>
      <c r="F927" s="164"/>
      <c r="G927" s="164"/>
      <c r="H927" s="164"/>
      <c r="I927" s="164"/>
      <c r="J927" s="164"/>
      <c r="K927" s="164"/>
      <c r="L927" s="164"/>
      <c r="M927" s="164"/>
      <c r="N927" s="164"/>
      <c r="O927" s="164"/>
      <c r="P927" s="164"/>
      <c r="Q927" s="164"/>
      <c r="R927" s="164"/>
      <c r="S927" s="164"/>
      <c r="T927" s="164"/>
      <c r="U927" s="164"/>
      <c r="V927" s="164"/>
      <c r="W927" s="164"/>
      <c r="X927" s="164"/>
      <c r="Y927" s="164"/>
      <c r="Z927" s="164"/>
    </row>
    <row r="928" ht="13.5" customHeight="1">
      <c r="A928" s="164"/>
      <c r="B928" s="164"/>
      <c r="C928" s="164"/>
      <c r="D928" s="164"/>
      <c r="E928" s="164"/>
      <c r="F928" s="164"/>
      <c r="G928" s="164"/>
      <c r="H928" s="164"/>
      <c r="I928" s="164"/>
      <c r="J928" s="164"/>
      <c r="K928" s="164"/>
      <c r="L928" s="164"/>
      <c r="M928" s="164"/>
      <c r="N928" s="164"/>
      <c r="O928" s="164"/>
      <c r="P928" s="164"/>
      <c r="Q928" s="164"/>
      <c r="R928" s="164"/>
      <c r="S928" s="164"/>
      <c r="T928" s="164"/>
      <c r="U928" s="164"/>
      <c r="V928" s="164"/>
      <c r="W928" s="164"/>
      <c r="X928" s="164"/>
      <c r="Y928" s="164"/>
      <c r="Z928" s="164"/>
    </row>
    <row r="929" ht="13.5" customHeight="1">
      <c r="A929" s="164"/>
      <c r="B929" s="164"/>
      <c r="C929" s="164"/>
      <c r="D929" s="164"/>
      <c r="E929" s="164"/>
      <c r="F929" s="164"/>
      <c r="G929" s="164"/>
      <c r="H929" s="164"/>
      <c r="I929" s="164"/>
      <c r="J929" s="164"/>
      <c r="K929" s="164"/>
      <c r="L929" s="164"/>
      <c r="M929" s="164"/>
      <c r="N929" s="164"/>
      <c r="O929" s="164"/>
      <c r="P929" s="164"/>
      <c r="Q929" s="164"/>
      <c r="R929" s="164"/>
      <c r="S929" s="164"/>
      <c r="T929" s="164"/>
      <c r="U929" s="164"/>
      <c r="V929" s="164"/>
      <c r="W929" s="164"/>
      <c r="X929" s="164"/>
      <c r="Y929" s="164"/>
      <c r="Z929" s="164"/>
    </row>
    <row r="930" ht="13.5" customHeight="1">
      <c r="A930" s="164"/>
      <c r="B930" s="164"/>
      <c r="C930" s="164"/>
      <c r="D930" s="164"/>
      <c r="E930" s="164"/>
      <c r="F930" s="164"/>
      <c r="G930" s="164"/>
      <c r="H930" s="164"/>
      <c r="I930" s="164"/>
      <c r="J930" s="164"/>
      <c r="K930" s="164"/>
      <c r="L930" s="164"/>
      <c r="M930" s="164"/>
      <c r="N930" s="164"/>
      <c r="O930" s="164"/>
      <c r="P930" s="164"/>
      <c r="Q930" s="164"/>
      <c r="R930" s="164"/>
      <c r="S930" s="164"/>
      <c r="T930" s="164"/>
      <c r="U930" s="164"/>
      <c r="V930" s="164"/>
      <c r="W930" s="164"/>
      <c r="X930" s="164"/>
      <c r="Y930" s="164"/>
      <c r="Z930" s="164"/>
    </row>
    <row r="931" ht="13.5" customHeight="1">
      <c r="A931" s="164"/>
      <c r="B931" s="164"/>
      <c r="C931" s="164"/>
      <c r="D931" s="164"/>
      <c r="E931" s="164"/>
      <c r="F931" s="164"/>
      <c r="G931" s="164"/>
      <c r="H931" s="164"/>
      <c r="I931" s="164"/>
      <c r="J931" s="164"/>
      <c r="K931" s="164"/>
      <c r="L931" s="164"/>
      <c r="M931" s="164"/>
      <c r="N931" s="164"/>
      <c r="O931" s="164"/>
      <c r="P931" s="164"/>
      <c r="Q931" s="164"/>
      <c r="R931" s="164"/>
      <c r="S931" s="164"/>
      <c r="T931" s="164"/>
      <c r="U931" s="164"/>
      <c r="V931" s="164"/>
      <c r="W931" s="164"/>
      <c r="X931" s="164"/>
      <c r="Y931" s="164"/>
      <c r="Z931" s="164"/>
    </row>
    <row r="932" ht="13.5" customHeight="1">
      <c r="A932" s="164"/>
      <c r="B932" s="164"/>
      <c r="C932" s="164"/>
      <c r="D932" s="164"/>
      <c r="E932" s="164"/>
      <c r="F932" s="164"/>
      <c r="G932" s="164"/>
      <c r="H932" s="164"/>
      <c r="I932" s="164"/>
      <c r="J932" s="164"/>
      <c r="K932" s="164"/>
      <c r="L932" s="164"/>
      <c r="M932" s="164"/>
      <c r="N932" s="164"/>
      <c r="O932" s="164"/>
      <c r="P932" s="164"/>
      <c r="Q932" s="164"/>
      <c r="R932" s="164"/>
      <c r="S932" s="164"/>
      <c r="T932" s="164"/>
      <c r="U932" s="164"/>
      <c r="V932" s="164"/>
      <c r="W932" s="164"/>
      <c r="X932" s="164"/>
      <c r="Y932" s="164"/>
      <c r="Z932" s="164"/>
    </row>
    <row r="933" ht="13.5" customHeight="1">
      <c r="A933" s="164"/>
      <c r="B933" s="164"/>
      <c r="C933" s="164"/>
      <c r="D933" s="164"/>
      <c r="E933" s="164"/>
      <c r="F933" s="164"/>
      <c r="G933" s="164"/>
      <c r="H933" s="164"/>
      <c r="I933" s="164"/>
      <c r="J933" s="164"/>
      <c r="K933" s="164"/>
      <c r="L933" s="164"/>
      <c r="M933" s="164"/>
      <c r="N933" s="164"/>
      <c r="O933" s="164"/>
      <c r="P933" s="164"/>
      <c r="Q933" s="164"/>
      <c r="R933" s="164"/>
      <c r="S933" s="164"/>
      <c r="T933" s="164"/>
      <c r="U933" s="164"/>
      <c r="V933" s="164"/>
      <c r="W933" s="164"/>
      <c r="X933" s="164"/>
      <c r="Y933" s="164"/>
      <c r="Z933" s="164"/>
    </row>
    <row r="934" ht="13.5" customHeight="1">
      <c r="A934" s="164"/>
      <c r="B934" s="164"/>
      <c r="C934" s="164"/>
      <c r="D934" s="164"/>
      <c r="E934" s="164"/>
      <c r="F934" s="164"/>
      <c r="G934" s="164"/>
      <c r="H934" s="164"/>
      <c r="I934" s="164"/>
      <c r="J934" s="164"/>
      <c r="K934" s="164"/>
      <c r="L934" s="164"/>
      <c r="M934" s="164"/>
      <c r="N934" s="164"/>
      <c r="O934" s="164"/>
      <c r="P934" s="164"/>
      <c r="Q934" s="164"/>
      <c r="R934" s="164"/>
      <c r="S934" s="164"/>
      <c r="T934" s="164"/>
      <c r="U934" s="164"/>
      <c r="V934" s="164"/>
      <c r="W934" s="164"/>
      <c r="X934" s="164"/>
      <c r="Y934" s="164"/>
      <c r="Z934" s="164"/>
    </row>
    <row r="935" ht="13.5" customHeight="1">
      <c r="A935" s="164"/>
      <c r="B935" s="164"/>
      <c r="C935" s="164"/>
      <c r="D935" s="164"/>
      <c r="E935" s="164"/>
      <c r="F935" s="164"/>
      <c r="G935" s="164"/>
      <c r="H935" s="164"/>
      <c r="I935" s="164"/>
      <c r="J935" s="164"/>
      <c r="K935" s="164"/>
      <c r="L935" s="164"/>
      <c r="M935" s="164"/>
      <c r="N935" s="164"/>
      <c r="O935" s="164"/>
      <c r="P935" s="164"/>
      <c r="Q935" s="164"/>
      <c r="R935" s="164"/>
      <c r="S935" s="164"/>
      <c r="T935" s="164"/>
      <c r="U935" s="164"/>
      <c r="V935" s="164"/>
      <c r="W935" s="164"/>
      <c r="X935" s="164"/>
      <c r="Y935" s="164"/>
      <c r="Z935" s="164"/>
    </row>
    <row r="936" ht="13.5" customHeight="1">
      <c r="A936" s="164"/>
      <c r="B936" s="164"/>
      <c r="C936" s="164"/>
      <c r="D936" s="164"/>
      <c r="E936" s="164"/>
      <c r="F936" s="164"/>
      <c r="G936" s="164"/>
      <c r="H936" s="164"/>
      <c r="I936" s="164"/>
      <c r="J936" s="164"/>
      <c r="K936" s="164"/>
      <c r="L936" s="164"/>
      <c r="M936" s="164"/>
      <c r="N936" s="164"/>
      <c r="O936" s="164"/>
      <c r="P936" s="164"/>
      <c r="Q936" s="164"/>
      <c r="R936" s="164"/>
      <c r="S936" s="164"/>
      <c r="T936" s="164"/>
      <c r="U936" s="164"/>
      <c r="V936" s="164"/>
      <c r="W936" s="164"/>
      <c r="X936" s="164"/>
      <c r="Y936" s="164"/>
      <c r="Z936" s="164"/>
    </row>
    <row r="937" ht="13.5" customHeight="1">
      <c r="A937" s="164"/>
      <c r="B937" s="164"/>
      <c r="C937" s="164"/>
      <c r="D937" s="164"/>
      <c r="E937" s="164"/>
      <c r="F937" s="164"/>
      <c r="G937" s="164"/>
      <c r="H937" s="164"/>
      <c r="I937" s="164"/>
      <c r="J937" s="164"/>
      <c r="K937" s="164"/>
      <c r="L937" s="164"/>
      <c r="M937" s="164"/>
      <c r="N937" s="164"/>
      <c r="O937" s="164"/>
      <c r="P937" s="164"/>
      <c r="Q937" s="164"/>
      <c r="R937" s="164"/>
      <c r="S937" s="164"/>
      <c r="T937" s="164"/>
      <c r="U937" s="164"/>
      <c r="V937" s="164"/>
      <c r="W937" s="164"/>
      <c r="X937" s="164"/>
      <c r="Y937" s="164"/>
      <c r="Z937" s="164"/>
    </row>
    <row r="938" ht="13.5" customHeight="1">
      <c r="A938" s="164"/>
      <c r="B938" s="164"/>
      <c r="C938" s="164"/>
      <c r="D938" s="164"/>
      <c r="E938" s="164"/>
      <c r="F938" s="164"/>
      <c r="G938" s="164"/>
      <c r="H938" s="164"/>
      <c r="I938" s="164"/>
      <c r="J938" s="164"/>
      <c r="K938" s="164"/>
      <c r="L938" s="164"/>
      <c r="M938" s="164"/>
      <c r="N938" s="164"/>
      <c r="O938" s="164"/>
      <c r="P938" s="164"/>
      <c r="Q938" s="164"/>
      <c r="R938" s="164"/>
      <c r="S938" s="164"/>
      <c r="T938" s="164"/>
      <c r="U938" s="164"/>
      <c r="V938" s="164"/>
      <c r="W938" s="164"/>
      <c r="X938" s="164"/>
      <c r="Y938" s="164"/>
      <c r="Z938" s="164"/>
    </row>
    <row r="939" ht="13.5" customHeight="1">
      <c r="A939" s="164"/>
      <c r="B939" s="164"/>
      <c r="C939" s="164"/>
      <c r="D939" s="164"/>
      <c r="E939" s="164"/>
      <c r="F939" s="164"/>
      <c r="G939" s="164"/>
      <c r="H939" s="164"/>
      <c r="I939" s="164"/>
      <c r="J939" s="164"/>
      <c r="K939" s="164"/>
      <c r="L939" s="164"/>
      <c r="M939" s="164"/>
      <c r="N939" s="164"/>
      <c r="O939" s="164"/>
      <c r="P939" s="164"/>
      <c r="Q939" s="164"/>
      <c r="R939" s="164"/>
      <c r="S939" s="164"/>
      <c r="T939" s="164"/>
      <c r="U939" s="164"/>
      <c r="V939" s="164"/>
      <c r="W939" s="164"/>
      <c r="X939" s="164"/>
      <c r="Y939" s="164"/>
      <c r="Z939" s="164"/>
    </row>
    <row r="940" ht="13.5" customHeight="1">
      <c r="A940" s="164"/>
      <c r="B940" s="164"/>
      <c r="C940" s="164"/>
      <c r="D940" s="164"/>
      <c r="E940" s="164"/>
      <c r="F940" s="164"/>
      <c r="G940" s="164"/>
      <c r="H940" s="164"/>
      <c r="I940" s="164"/>
      <c r="J940" s="164"/>
      <c r="K940" s="164"/>
      <c r="L940" s="164"/>
      <c r="M940" s="164"/>
      <c r="N940" s="164"/>
      <c r="O940" s="164"/>
      <c r="P940" s="164"/>
      <c r="Q940" s="164"/>
      <c r="R940" s="164"/>
      <c r="S940" s="164"/>
      <c r="T940" s="164"/>
      <c r="U940" s="164"/>
      <c r="V940" s="164"/>
      <c r="W940" s="164"/>
      <c r="X940" s="164"/>
      <c r="Y940" s="164"/>
      <c r="Z940" s="164"/>
    </row>
    <row r="941" ht="13.5" customHeight="1">
      <c r="A941" s="164"/>
      <c r="B941" s="164"/>
      <c r="C941" s="164"/>
      <c r="D941" s="164"/>
      <c r="E941" s="164"/>
      <c r="F941" s="164"/>
      <c r="G941" s="164"/>
      <c r="H941" s="164"/>
      <c r="I941" s="164"/>
      <c r="J941" s="164"/>
      <c r="K941" s="164"/>
      <c r="L941" s="164"/>
      <c r="M941" s="164"/>
      <c r="N941" s="164"/>
      <c r="O941" s="164"/>
      <c r="P941" s="164"/>
      <c r="Q941" s="164"/>
      <c r="R941" s="164"/>
      <c r="S941" s="164"/>
      <c r="T941" s="164"/>
      <c r="U941" s="164"/>
      <c r="V941" s="164"/>
      <c r="W941" s="164"/>
      <c r="X941" s="164"/>
      <c r="Y941" s="164"/>
      <c r="Z941" s="164"/>
    </row>
    <row r="942" ht="13.5" customHeight="1">
      <c r="A942" s="164"/>
      <c r="B942" s="164"/>
      <c r="C942" s="164"/>
      <c r="D942" s="164"/>
      <c r="E942" s="164"/>
      <c r="F942" s="164"/>
      <c r="G942" s="164"/>
      <c r="H942" s="164"/>
      <c r="I942" s="164"/>
      <c r="J942" s="164"/>
      <c r="K942" s="164"/>
      <c r="L942" s="164"/>
      <c r="M942" s="164"/>
      <c r="N942" s="164"/>
      <c r="O942" s="164"/>
      <c r="P942" s="164"/>
      <c r="Q942" s="164"/>
      <c r="R942" s="164"/>
      <c r="S942" s="164"/>
      <c r="T942" s="164"/>
      <c r="U942" s="164"/>
      <c r="V942" s="164"/>
      <c r="W942" s="164"/>
      <c r="X942" s="164"/>
      <c r="Y942" s="164"/>
      <c r="Z942" s="164"/>
    </row>
    <row r="943" ht="13.5" customHeight="1">
      <c r="A943" s="164"/>
      <c r="B943" s="164"/>
      <c r="C943" s="164"/>
      <c r="D943" s="164"/>
      <c r="E943" s="164"/>
      <c r="F943" s="164"/>
      <c r="G943" s="164"/>
      <c r="H943" s="164"/>
      <c r="I943" s="164"/>
      <c r="J943" s="164"/>
      <c r="K943" s="164"/>
      <c r="L943" s="164"/>
      <c r="M943" s="164"/>
      <c r="N943" s="164"/>
      <c r="O943" s="164"/>
      <c r="P943" s="164"/>
      <c r="Q943" s="164"/>
      <c r="R943" s="164"/>
      <c r="S943" s="164"/>
      <c r="T943" s="164"/>
      <c r="U943" s="164"/>
      <c r="V943" s="164"/>
      <c r="W943" s="164"/>
      <c r="X943" s="164"/>
      <c r="Y943" s="164"/>
      <c r="Z943" s="164"/>
    </row>
    <row r="944" ht="13.5" customHeight="1">
      <c r="A944" s="164"/>
      <c r="B944" s="164"/>
      <c r="C944" s="164"/>
      <c r="D944" s="164"/>
      <c r="E944" s="164"/>
      <c r="F944" s="164"/>
      <c r="G944" s="164"/>
      <c r="H944" s="164"/>
      <c r="I944" s="164"/>
      <c r="J944" s="164"/>
      <c r="K944" s="164"/>
      <c r="L944" s="164"/>
      <c r="M944" s="164"/>
      <c r="N944" s="164"/>
      <c r="O944" s="164"/>
      <c r="P944" s="164"/>
      <c r="Q944" s="164"/>
      <c r="R944" s="164"/>
      <c r="S944" s="164"/>
      <c r="T944" s="164"/>
      <c r="U944" s="164"/>
      <c r="V944" s="164"/>
      <c r="W944" s="164"/>
      <c r="X944" s="164"/>
      <c r="Y944" s="164"/>
      <c r="Z944" s="164"/>
    </row>
    <row r="945" ht="13.5" customHeight="1">
      <c r="A945" s="164"/>
      <c r="B945" s="164"/>
      <c r="C945" s="164"/>
      <c r="D945" s="164"/>
      <c r="E945" s="164"/>
      <c r="F945" s="164"/>
      <c r="G945" s="164"/>
      <c r="H945" s="164"/>
      <c r="I945" s="164"/>
      <c r="J945" s="164"/>
      <c r="K945" s="164"/>
      <c r="L945" s="164"/>
      <c r="M945" s="164"/>
      <c r="N945" s="164"/>
      <c r="O945" s="164"/>
      <c r="P945" s="164"/>
      <c r="Q945" s="164"/>
      <c r="R945" s="164"/>
      <c r="S945" s="164"/>
      <c r="T945" s="164"/>
      <c r="U945" s="164"/>
      <c r="V945" s="164"/>
      <c r="W945" s="164"/>
      <c r="X945" s="164"/>
      <c r="Y945" s="164"/>
      <c r="Z945" s="164"/>
    </row>
    <row r="946" ht="13.5" customHeight="1">
      <c r="A946" s="164"/>
      <c r="B946" s="164"/>
      <c r="C946" s="164"/>
      <c r="D946" s="164"/>
      <c r="E946" s="164"/>
      <c r="F946" s="164"/>
      <c r="G946" s="164"/>
      <c r="H946" s="164"/>
      <c r="I946" s="164"/>
      <c r="J946" s="164"/>
      <c r="K946" s="164"/>
      <c r="L946" s="164"/>
      <c r="M946" s="164"/>
      <c r="N946" s="164"/>
      <c r="O946" s="164"/>
      <c r="P946" s="164"/>
      <c r="Q946" s="164"/>
      <c r="R946" s="164"/>
      <c r="S946" s="164"/>
      <c r="T946" s="164"/>
      <c r="U946" s="164"/>
      <c r="V946" s="164"/>
      <c r="W946" s="164"/>
      <c r="X946" s="164"/>
      <c r="Y946" s="164"/>
      <c r="Z946" s="164"/>
    </row>
    <row r="947" ht="13.5" customHeight="1">
      <c r="A947" s="164"/>
      <c r="B947" s="164"/>
      <c r="C947" s="164"/>
      <c r="D947" s="164"/>
      <c r="E947" s="164"/>
      <c r="F947" s="164"/>
      <c r="G947" s="164"/>
      <c r="H947" s="164"/>
      <c r="I947" s="164"/>
      <c r="J947" s="164"/>
      <c r="K947" s="164"/>
      <c r="L947" s="164"/>
      <c r="M947" s="164"/>
      <c r="N947" s="164"/>
      <c r="O947" s="164"/>
      <c r="P947" s="164"/>
      <c r="Q947" s="164"/>
      <c r="R947" s="164"/>
      <c r="S947" s="164"/>
      <c r="T947" s="164"/>
      <c r="U947" s="164"/>
      <c r="V947" s="164"/>
      <c r="W947" s="164"/>
      <c r="X947" s="164"/>
      <c r="Y947" s="164"/>
      <c r="Z947" s="164"/>
    </row>
    <row r="948" ht="13.5" customHeight="1">
      <c r="A948" s="164"/>
      <c r="B948" s="164"/>
      <c r="C948" s="164"/>
      <c r="D948" s="164"/>
      <c r="E948" s="164"/>
      <c r="F948" s="164"/>
      <c r="G948" s="164"/>
      <c r="H948" s="164"/>
      <c r="I948" s="164"/>
      <c r="J948" s="164"/>
      <c r="K948" s="164"/>
      <c r="L948" s="164"/>
      <c r="M948" s="164"/>
      <c r="N948" s="164"/>
      <c r="O948" s="164"/>
      <c r="P948" s="164"/>
      <c r="Q948" s="164"/>
      <c r="R948" s="164"/>
      <c r="S948" s="164"/>
      <c r="T948" s="164"/>
      <c r="U948" s="164"/>
      <c r="V948" s="164"/>
      <c r="W948" s="164"/>
      <c r="X948" s="164"/>
      <c r="Y948" s="164"/>
      <c r="Z948" s="164"/>
    </row>
    <row r="949" ht="13.5" customHeight="1">
      <c r="A949" s="164"/>
      <c r="B949" s="164"/>
      <c r="C949" s="164"/>
      <c r="D949" s="164"/>
      <c r="E949" s="164"/>
      <c r="F949" s="164"/>
      <c r="G949" s="164"/>
      <c r="H949" s="164"/>
      <c r="I949" s="164"/>
      <c r="J949" s="164"/>
      <c r="K949" s="164"/>
      <c r="L949" s="164"/>
      <c r="M949" s="164"/>
      <c r="N949" s="164"/>
      <c r="O949" s="164"/>
      <c r="P949" s="164"/>
      <c r="Q949" s="164"/>
      <c r="R949" s="164"/>
      <c r="S949" s="164"/>
      <c r="T949" s="164"/>
      <c r="U949" s="164"/>
      <c r="V949" s="164"/>
      <c r="W949" s="164"/>
      <c r="X949" s="164"/>
      <c r="Y949" s="164"/>
      <c r="Z949" s="164"/>
    </row>
    <row r="950" ht="13.5" customHeight="1">
      <c r="A950" s="164"/>
      <c r="B950" s="164"/>
      <c r="C950" s="164"/>
      <c r="D950" s="164"/>
      <c r="E950" s="164"/>
      <c r="F950" s="164"/>
      <c r="G950" s="164"/>
      <c r="H950" s="164"/>
      <c r="I950" s="164"/>
      <c r="J950" s="164"/>
      <c r="K950" s="164"/>
      <c r="L950" s="164"/>
      <c r="M950" s="164"/>
      <c r="N950" s="164"/>
      <c r="O950" s="164"/>
      <c r="P950" s="164"/>
      <c r="Q950" s="164"/>
      <c r="R950" s="164"/>
      <c r="S950" s="164"/>
      <c r="T950" s="164"/>
      <c r="U950" s="164"/>
      <c r="V950" s="164"/>
      <c r="W950" s="164"/>
      <c r="X950" s="164"/>
      <c r="Y950" s="164"/>
      <c r="Z950" s="164"/>
    </row>
    <row r="951" ht="13.5" customHeight="1">
      <c r="A951" s="164"/>
      <c r="B951" s="164"/>
      <c r="C951" s="164"/>
      <c r="D951" s="164"/>
      <c r="E951" s="164"/>
      <c r="F951" s="164"/>
      <c r="G951" s="164"/>
      <c r="H951" s="164"/>
      <c r="I951" s="164"/>
      <c r="J951" s="164"/>
      <c r="K951" s="164"/>
      <c r="L951" s="164"/>
      <c r="M951" s="164"/>
      <c r="N951" s="164"/>
      <c r="O951" s="164"/>
      <c r="P951" s="164"/>
      <c r="Q951" s="164"/>
      <c r="R951" s="164"/>
      <c r="S951" s="164"/>
      <c r="T951" s="164"/>
      <c r="U951" s="164"/>
      <c r="V951" s="164"/>
      <c r="W951" s="164"/>
      <c r="X951" s="164"/>
      <c r="Y951" s="164"/>
      <c r="Z951" s="164"/>
    </row>
    <row r="952" ht="13.5" customHeight="1">
      <c r="A952" s="164"/>
      <c r="B952" s="164"/>
      <c r="C952" s="164"/>
      <c r="D952" s="164"/>
      <c r="E952" s="164"/>
      <c r="F952" s="164"/>
      <c r="G952" s="164"/>
      <c r="H952" s="164"/>
      <c r="I952" s="164"/>
      <c r="J952" s="164"/>
      <c r="K952" s="164"/>
      <c r="L952" s="164"/>
      <c r="M952" s="164"/>
      <c r="N952" s="164"/>
      <c r="O952" s="164"/>
      <c r="P952" s="164"/>
      <c r="Q952" s="164"/>
      <c r="R952" s="164"/>
      <c r="S952" s="164"/>
      <c r="T952" s="164"/>
      <c r="U952" s="164"/>
      <c r="V952" s="164"/>
      <c r="W952" s="164"/>
      <c r="X952" s="164"/>
      <c r="Y952" s="164"/>
      <c r="Z952" s="164"/>
    </row>
    <row r="953" ht="13.5" customHeight="1">
      <c r="A953" s="164"/>
      <c r="B953" s="164"/>
      <c r="C953" s="164"/>
      <c r="D953" s="164"/>
      <c r="E953" s="164"/>
      <c r="F953" s="164"/>
      <c r="G953" s="164"/>
      <c r="H953" s="164"/>
      <c r="I953" s="164"/>
      <c r="J953" s="164"/>
      <c r="K953" s="164"/>
      <c r="L953" s="164"/>
      <c r="M953" s="164"/>
      <c r="N953" s="164"/>
      <c r="O953" s="164"/>
      <c r="P953" s="164"/>
      <c r="Q953" s="164"/>
      <c r="R953" s="164"/>
      <c r="S953" s="164"/>
      <c r="T953" s="164"/>
      <c r="U953" s="164"/>
      <c r="V953" s="164"/>
      <c r="W953" s="164"/>
      <c r="X953" s="164"/>
      <c r="Y953" s="164"/>
      <c r="Z953" s="164"/>
    </row>
    <row r="954" ht="13.5" customHeight="1">
      <c r="A954" s="164"/>
      <c r="B954" s="164"/>
      <c r="C954" s="164"/>
      <c r="D954" s="164"/>
      <c r="E954" s="164"/>
      <c r="F954" s="164"/>
      <c r="G954" s="164"/>
      <c r="H954" s="164"/>
      <c r="I954" s="164"/>
      <c r="J954" s="164"/>
      <c r="K954" s="164"/>
      <c r="L954" s="164"/>
      <c r="M954" s="164"/>
      <c r="N954" s="164"/>
      <c r="O954" s="164"/>
      <c r="P954" s="164"/>
      <c r="Q954" s="164"/>
      <c r="R954" s="164"/>
      <c r="S954" s="164"/>
      <c r="T954" s="164"/>
      <c r="U954" s="164"/>
      <c r="V954" s="164"/>
      <c r="W954" s="164"/>
      <c r="X954" s="164"/>
      <c r="Y954" s="164"/>
      <c r="Z954" s="164"/>
    </row>
    <row r="955" ht="13.5" customHeight="1">
      <c r="A955" s="164"/>
      <c r="B955" s="164"/>
      <c r="C955" s="164"/>
      <c r="D955" s="164"/>
      <c r="E955" s="164"/>
      <c r="F955" s="164"/>
      <c r="G955" s="164"/>
      <c r="H955" s="164"/>
      <c r="I955" s="164"/>
      <c r="J955" s="164"/>
      <c r="K955" s="164"/>
      <c r="L955" s="164"/>
      <c r="M955" s="164"/>
      <c r="N955" s="164"/>
      <c r="O955" s="164"/>
      <c r="P955" s="164"/>
      <c r="Q955" s="164"/>
      <c r="R955" s="164"/>
      <c r="S955" s="164"/>
      <c r="T955" s="164"/>
      <c r="U955" s="164"/>
      <c r="V955" s="164"/>
      <c r="W955" s="164"/>
      <c r="X955" s="164"/>
      <c r="Y955" s="164"/>
      <c r="Z955" s="164"/>
    </row>
    <row r="956" ht="13.5" customHeight="1">
      <c r="A956" s="164"/>
      <c r="B956" s="164"/>
      <c r="C956" s="164"/>
      <c r="D956" s="164"/>
      <c r="E956" s="164"/>
      <c r="F956" s="164"/>
      <c r="G956" s="164"/>
      <c r="H956" s="164"/>
      <c r="I956" s="164"/>
      <c r="J956" s="164"/>
      <c r="K956" s="164"/>
      <c r="L956" s="164"/>
      <c r="M956" s="164"/>
      <c r="N956" s="164"/>
      <c r="O956" s="164"/>
      <c r="P956" s="164"/>
      <c r="Q956" s="164"/>
      <c r="R956" s="164"/>
      <c r="S956" s="164"/>
      <c r="T956" s="164"/>
      <c r="U956" s="164"/>
      <c r="V956" s="164"/>
      <c r="W956" s="164"/>
      <c r="X956" s="164"/>
      <c r="Y956" s="164"/>
      <c r="Z956" s="164"/>
    </row>
    <row r="957" ht="13.5" customHeight="1">
      <c r="A957" s="164"/>
      <c r="B957" s="164"/>
      <c r="C957" s="164"/>
      <c r="D957" s="164"/>
      <c r="E957" s="164"/>
      <c r="F957" s="164"/>
      <c r="G957" s="164"/>
      <c r="H957" s="164"/>
      <c r="I957" s="164"/>
      <c r="J957" s="164"/>
      <c r="K957" s="164"/>
      <c r="L957" s="164"/>
      <c r="M957" s="164"/>
      <c r="N957" s="164"/>
      <c r="O957" s="164"/>
      <c r="P957" s="164"/>
      <c r="Q957" s="164"/>
      <c r="R957" s="164"/>
      <c r="S957" s="164"/>
      <c r="T957" s="164"/>
      <c r="U957" s="164"/>
      <c r="V957" s="164"/>
      <c r="W957" s="164"/>
      <c r="X957" s="164"/>
      <c r="Y957" s="164"/>
      <c r="Z957" s="164"/>
    </row>
    <row r="958" ht="13.5" customHeight="1">
      <c r="A958" s="164"/>
      <c r="B958" s="164"/>
      <c r="C958" s="164"/>
      <c r="D958" s="164"/>
      <c r="E958" s="164"/>
      <c r="F958" s="164"/>
      <c r="G958" s="164"/>
      <c r="H958" s="164"/>
      <c r="I958" s="164"/>
      <c r="J958" s="164"/>
      <c r="K958" s="164"/>
      <c r="L958" s="164"/>
      <c r="M958" s="164"/>
      <c r="N958" s="164"/>
      <c r="O958" s="164"/>
      <c r="P958" s="164"/>
      <c r="Q958" s="164"/>
      <c r="R958" s="164"/>
      <c r="S958" s="164"/>
      <c r="T958" s="164"/>
      <c r="U958" s="164"/>
      <c r="V958" s="164"/>
      <c r="W958" s="164"/>
      <c r="X958" s="164"/>
      <c r="Y958" s="164"/>
      <c r="Z958" s="164"/>
    </row>
    <row r="959" ht="13.5" customHeight="1">
      <c r="A959" s="164"/>
      <c r="B959" s="164"/>
      <c r="C959" s="164"/>
      <c r="D959" s="164"/>
      <c r="E959" s="164"/>
      <c r="F959" s="164"/>
      <c r="G959" s="164"/>
      <c r="H959" s="164"/>
      <c r="I959" s="164"/>
      <c r="J959" s="164"/>
      <c r="K959" s="164"/>
      <c r="L959" s="164"/>
      <c r="M959" s="164"/>
      <c r="N959" s="164"/>
      <c r="O959" s="164"/>
      <c r="P959" s="164"/>
      <c r="Q959" s="164"/>
      <c r="R959" s="164"/>
      <c r="S959" s="164"/>
      <c r="T959" s="164"/>
      <c r="U959" s="164"/>
      <c r="V959" s="164"/>
      <c r="W959" s="164"/>
      <c r="X959" s="164"/>
      <c r="Y959" s="164"/>
      <c r="Z959" s="164"/>
    </row>
    <row r="960" ht="13.5" customHeight="1">
      <c r="A960" s="164"/>
      <c r="B960" s="164"/>
      <c r="C960" s="164"/>
      <c r="D960" s="164"/>
      <c r="E960" s="164"/>
      <c r="F960" s="164"/>
      <c r="G960" s="164"/>
      <c r="H960" s="164"/>
      <c r="I960" s="164"/>
      <c r="J960" s="164"/>
      <c r="K960" s="164"/>
      <c r="L960" s="164"/>
      <c r="M960" s="164"/>
      <c r="N960" s="164"/>
      <c r="O960" s="164"/>
      <c r="P960" s="164"/>
      <c r="Q960" s="164"/>
      <c r="R960" s="164"/>
      <c r="S960" s="164"/>
      <c r="T960" s="164"/>
      <c r="U960" s="164"/>
      <c r="V960" s="164"/>
      <c r="W960" s="164"/>
      <c r="X960" s="164"/>
      <c r="Y960" s="164"/>
      <c r="Z960" s="164"/>
    </row>
    <row r="961" ht="13.5" customHeight="1">
      <c r="A961" s="164"/>
      <c r="B961" s="164"/>
      <c r="C961" s="164"/>
      <c r="D961" s="164"/>
      <c r="E961" s="164"/>
      <c r="F961" s="164"/>
      <c r="G961" s="164"/>
      <c r="H961" s="164"/>
      <c r="I961" s="164"/>
      <c r="J961" s="164"/>
      <c r="K961" s="164"/>
      <c r="L961" s="164"/>
      <c r="M961" s="164"/>
      <c r="N961" s="164"/>
      <c r="O961" s="164"/>
      <c r="P961" s="164"/>
      <c r="Q961" s="164"/>
      <c r="R961" s="164"/>
      <c r="S961" s="164"/>
      <c r="T961" s="164"/>
      <c r="U961" s="164"/>
      <c r="V961" s="164"/>
      <c r="W961" s="164"/>
      <c r="X961" s="164"/>
      <c r="Y961" s="164"/>
      <c r="Z961" s="164"/>
    </row>
    <row r="962" ht="13.5" customHeight="1">
      <c r="A962" s="164"/>
      <c r="B962" s="164"/>
      <c r="C962" s="164"/>
      <c r="D962" s="164"/>
      <c r="E962" s="164"/>
      <c r="F962" s="164"/>
      <c r="G962" s="164"/>
      <c r="H962" s="164"/>
      <c r="I962" s="164"/>
      <c r="J962" s="164"/>
      <c r="K962" s="164"/>
      <c r="L962" s="164"/>
      <c r="M962" s="164"/>
      <c r="N962" s="164"/>
      <c r="O962" s="164"/>
      <c r="P962" s="164"/>
      <c r="Q962" s="164"/>
      <c r="R962" s="164"/>
      <c r="S962" s="164"/>
      <c r="T962" s="164"/>
      <c r="U962" s="164"/>
      <c r="V962" s="164"/>
      <c r="W962" s="164"/>
      <c r="X962" s="164"/>
      <c r="Y962" s="164"/>
      <c r="Z962" s="164"/>
    </row>
    <row r="963" ht="13.5" customHeight="1">
      <c r="A963" s="164"/>
      <c r="B963" s="164"/>
      <c r="C963" s="164"/>
      <c r="D963" s="164"/>
      <c r="E963" s="164"/>
      <c r="F963" s="164"/>
      <c r="G963" s="164"/>
      <c r="H963" s="164"/>
      <c r="I963" s="164"/>
      <c r="J963" s="164"/>
      <c r="K963" s="164"/>
      <c r="L963" s="164"/>
      <c r="M963" s="164"/>
      <c r="N963" s="164"/>
      <c r="O963" s="164"/>
      <c r="P963" s="164"/>
      <c r="Q963" s="164"/>
      <c r="R963" s="164"/>
      <c r="S963" s="164"/>
      <c r="T963" s="164"/>
      <c r="U963" s="164"/>
      <c r="V963" s="164"/>
      <c r="W963" s="164"/>
      <c r="X963" s="164"/>
      <c r="Y963" s="164"/>
      <c r="Z963" s="164"/>
    </row>
    <row r="964" ht="13.5" customHeight="1">
      <c r="A964" s="164"/>
      <c r="B964" s="164"/>
      <c r="C964" s="164"/>
      <c r="D964" s="164"/>
      <c r="E964" s="164"/>
      <c r="F964" s="164"/>
      <c r="G964" s="164"/>
      <c r="H964" s="164"/>
      <c r="I964" s="164"/>
      <c r="J964" s="164"/>
      <c r="K964" s="164"/>
      <c r="L964" s="164"/>
      <c r="M964" s="164"/>
      <c r="N964" s="164"/>
      <c r="O964" s="164"/>
      <c r="P964" s="164"/>
      <c r="Q964" s="164"/>
      <c r="R964" s="164"/>
      <c r="S964" s="164"/>
      <c r="T964" s="164"/>
      <c r="U964" s="164"/>
      <c r="V964" s="164"/>
      <c r="W964" s="164"/>
      <c r="X964" s="164"/>
      <c r="Y964" s="164"/>
      <c r="Z964" s="164"/>
    </row>
    <row r="965" ht="13.5" customHeight="1">
      <c r="A965" s="164"/>
      <c r="B965" s="164"/>
      <c r="C965" s="164"/>
      <c r="D965" s="164"/>
      <c r="E965" s="164"/>
      <c r="F965" s="164"/>
      <c r="G965" s="164"/>
      <c r="H965" s="164"/>
      <c r="I965" s="164"/>
      <c r="J965" s="164"/>
      <c r="K965" s="164"/>
      <c r="L965" s="164"/>
      <c r="M965" s="164"/>
      <c r="N965" s="164"/>
      <c r="O965" s="164"/>
      <c r="P965" s="164"/>
      <c r="Q965" s="164"/>
      <c r="R965" s="164"/>
      <c r="S965" s="164"/>
      <c r="T965" s="164"/>
      <c r="U965" s="164"/>
      <c r="V965" s="164"/>
      <c r="W965" s="164"/>
      <c r="X965" s="164"/>
      <c r="Y965" s="164"/>
      <c r="Z965" s="164"/>
    </row>
    <row r="966" ht="13.5" customHeight="1">
      <c r="A966" s="164"/>
      <c r="B966" s="164"/>
      <c r="C966" s="164"/>
      <c r="D966" s="164"/>
      <c r="E966" s="164"/>
      <c r="F966" s="164"/>
      <c r="G966" s="164"/>
      <c r="H966" s="164"/>
      <c r="I966" s="164"/>
      <c r="J966" s="164"/>
      <c r="K966" s="164"/>
      <c r="L966" s="164"/>
      <c r="M966" s="164"/>
      <c r="N966" s="164"/>
      <c r="O966" s="164"/>
      <c r="P966" s="164"/>
      <c r="Q966" s="164"/>
      <c r="R966" s="164"/>
      <c r="S966" s="164"/>
      <c r="T966" s="164"/>
      <c r="U966" s="164"/>
      <c r="V966" s="164"/>
      <c r="W966" s="164"/>
      <c r="X966" s="164"/>
      <c r="Y966" s="164"/>
      <c r="Z966" s="164"/>
    </row>
    <row r="967" ht="13.5" customHeight="1">
      <c r="A967" s="164"/>
      <c r="B967" s="164"/>
      <c r="C967" s="164"/>
      <c r="D967" s="164"/>
      <c r="E967" s="164"/>
      <c r="F967" s="164"/>
      <c r="G967" s="164"/>
      <c r="H967" s="164"/>
      <c r="I967" s="164"/>
      <c r="J967" s="164"/>
      <c r="K967" s="164"/>
      <c r="L967" s="164"/>
      <c r="M967" s="164"/>
      <c r="N967" s="164"/>
      <c r="O967" s="164"/>
      <c r="P967" s="164"/>
      <c r="Q967" s="164"/>
      <c r="R967" s="164"/>
      <c r="S967" s="164"/>
      <c r="T967" s="164"/>
      <c r="U967" s="164"/>
      <c r="V967" s="164"/>
      <c r="W967" s="164"/>
      <c r="X967" s="164"/>
      <c r="Y967" s="164"/>
      <c r="Z967" s="164"/>
    </row>
    <row r="968" ht="13.5" customHeight="1">
      <c r="A968" s="164"/>
      <c r="B968" s="164"/>
      <c r="C968" s="164"/>
      <c r="D968" s="164"/>
      <c r="E968" s="164"/>
      <c r="F968" s="164"/>
      <c r="G968" s="164"/>
      <c r="H968" s="164"/>
      <c r="I968" s="164"/>
      <c r="J968" s="164"/>
      <c r="K968" s="164"/>
      <c r="L968" s="164"/>
      <c r="M968" s="164"/>
      <c r="N968" s="164"/>
      <c r="O968" s="164"/>
      <c r="P968" s="164"/>
      <c r="Q968" s="164"/>
      <c r="R968" s="164"/>
      <c r="S968" s="164"/>
      <c r="T968" s="164"/>
      <c r="U968" s="164"/>
      <c r="V968" s="164"/>
      <c r="W968" s="164"/>
      <c r="X968" s="164"/>
      <c r="Y968" s="164"/>
      <c r="Z968" s="164"/>
    </row>
    <row r="969" ht="13.5" customHeight="1">
      <c r="A969" s="164"/>
      <c r="B969" s="164"/>
      <c r="C969" s="164"/>
      <c r="D969" s="164"/>
      <c r="E969" s="164"/>
      <c r="F969" s="164"/>
      <c r="G969" s="164"/>
      <c r="H969" s="164"/>
      <c r="I969" s="164"/>
      <c r="J969" s="164"/>
      <c r="K969" s="164"/>
      <c r="L969" s="164"/>
      <c r="M969" s="164"/>
      <c r="N969" s="164"/>
      <c r="O969" s="164"/>
      <c r="P969" s="164"/>
      <c r="Q969" s="164"/>
      <c r="R969" s="164"/>
      <c r="S969" s="164"/>
      <c r="T969" s="164"/>
      <c r="U969" s="164"/>
      <c r="V969" s="164"/>
      <c r="W969" s="164"/>
      <c r="X969" s="164"/>
      <c r="Y969" s="164"/>
      <c r="Z969" s="164"/>
    </row>
    <row r="970" ht="13.5" customHeight="1">
      <c r="A970" s="164"/>
      <c r="B970" s="164"/>
      <c r="C970" s="164"/>
      <c r="D970" s="164"/>
      <c r="E970" s="164"/>
      <c r="F970" s="164"/>
      <c r="G970" s="164"/>
      <c r="H970" s="164"/>
      <c r="I970" s="164"/>
      <c r="J970" s="164"/>
      <c r="K970" s="164"/>
      <c r="L970" s="164"/>
      <c r="M970" s="164"/>
      <c r="N970" s="164"/>
      <c r="O970" s="164"/>
      <c r="P970" s="164"/>
      <c r="Q970" s="164"/>
      <c r="R970" s="164"/>
      <c r="S970" s="164"/>
      <c r="T970" s="164"/>
      <c r="U970" s="164"/>
      <c r="V970" s="164"/>
      <c r="W970" s="164"/>
      <c r="X970" s="164"/>
      <c r="Y970" s="164"/>
      <c r="Z970" s="164"/>
    </row>
    <row r="971" ht="13.5" customHeight="1">
      <c r="A971" s="164"/>
      <c r="B971" s="164"/>
      <c r="C971" s="164"/>
      <c r="D971" s="164"/>
      <c r="E971" s="164"/>
      <c r="F971" s="164"/>
      <c r="G971" s="164"/>
      <c r="H971" s="164"/>
      <c r="I971" s="164"/>
      <c r="J971" s="164"/>
      <c r="K971" s="164"/>
      <c r="L971" s="164"/>
      <c r="M971" s="164"/>
      <c r="N971" s="164"/>
      <c r="O971" s="164"/>
      <c r="P971" s="164"/>
      <c r="Q971" s="164"/>
      <c r="R971" s="164"/>
      <c r="S971" s="164"/>
      <c r="T971" s="164"/>
      <c r="U971" s="164"/>
      <c r="V971" s="164"/>
      <c r="W971" s="164"/>
      <c r="X971" s="164"/>
      <c r="Y971" s="164"/>
      <c r="Z971" s="164"/>
    </row>
    <row r="972" ht="13.5" customHeight="1">
      <c r="A972" s="164"/>
      <c r="B972" s="164"/>
      <c r="C972" s="164"/>
      <c r="D972" s="164"/>
      <c r="E972" s="164"/>
      <c r="F972" s="164"/>
      <c r="G972" s="164"/>
      <c r="H972" s="164"/>
      <c r="I972" s="164"/>
      <c r="J972" s="164"/>
      <c r="K972" s="164"/>
      <c r="L972" s="164"/>
      <c r="M972" s="164"/>
      <c r="N972" s="164"/>
      <c r="O972" s="164"/>
      <c r="P972" s="164"/>
      <c r="Q972" s="164"/>
      <c r="R972" s="164"/>
      <c r="S972" s="164"/>
      <c r="T972" s="164"/>
      <c r="U972" s="164"/>
      <c r="V972" s="164"/>
      <c r="W972" s="164"/>
      <c r="X972" s="164"/>
      <c r="Y972" s="164"/>
      <c r="Z972" s="164"/>
    </row>
    <row r="973" ht="13.5" customHeight="1">
      <c r="A973" s="164"/>
      <c r="B973" s="164"/>
      <c r="C973" s="164"/>
      <c r="D973" s="164"/>
      <c r="E973" s="164"/>
      <c r="F973" s="164"/>
      <c r="G973" s="164"/>
      <c r="H973" s="164"/>
      <c r="I973" s="164"/>
      <c r="J973" s="164"/>
      <c r="K973" s="164"/>
      <c r="L973" s="164"/>
      <c r="M973" s="164"/>
      <c r="N973" s="164"/>
      <c r="O973" s="164"/>
      <c r="P973" s="164"/>
      <c r="Q973" s="164"/>
      <c r="R973" s="164"/>
      <c r="S973" s="164"/>
      <c r="T973" s="164"/>
      <c r="U973" s="164"/>
      <c r="V973" s="164"/>
      <c r="W973" s="164"/>
      <c r="X973" s="164"/>
      <c r="Y973" s="164"/>
      <c r="Z973" s="164"/>
    </row>
    <row r="974" ht="13.5" customHeight="1">
      <c r="A974" s="164"/>
      <c r="B974" s="164"/>
      <c r="C974" s="164"/>
      <c r="D974" s="164"/>
      <c r="E974" s="164"/>
      <c r="F974" s="164"/>
      <c r="G974" s="164"/>
      <c r="H974" s="164"/>
      <c r="I974" s="164"/>
      <c r="J974" s="164"/>
      <c r="K974" s="164"/>
      <c r="L974" s="164"/>
      <c r="M974" s="164"/>
      <c r="N974" s="164"/>
      <c r="O974" s="164"/>
      <c r="P974" s="164"/>
      <c r="Q974" s="164"/>
      <c r="R974" s="164"/>
      <c r="S974" s="164"/>
      <c r="T974" s="164"/>
      <c r="U974" s="164"/>
      <c r="V974" s="164"/>
      <c r="W974" s="164"/>
      <c r="X974" s="164"/>
      <c r="Y974" s="164"/>
      <c r="Z974" s="164"/>
    </row>
    <row r="975" ht="13.5" customHeight="1">
      <c r="A975" s="164"/>
      <c r="B975" s="164"/>
      <c r="C975" s="164"/>
      <c r="D975" s="164"/>
      <c r="E975" s="164"/>
      <c r="F975" s="164"/>
      <c r="G975" s="164"/>
      <c r="H975" s="164"/>
      <c r="I975" s="164"/>
      <c r="J975" s="164"/>
      <c r="K975" s="164"/>
      <c r="L975" s="164"/>
      <c r="M975" s="164"/>
      <c r="N975" s="164"/>
      <c r="O975" s="164"/>
      <c r="P975" s="164"/>
      <c r="Q975" s="164"/>
      <c r="R975" s="164"/>
      <c r="S975" s="164"/>
      <c r="T975" s="164"/>
      <c r="U975" s="164"/>
      <c r="V975" s="164"/>
      <c r="W975" s="164"/>
      <c r="X975" s="164"/>
      <c r="Y975" s="164"/>
      <c r="Z975" s="164"/>
    </row>
    <row r="976" ht="13.5" customHeight="1">
      <c r="A976" s="164"/>
      <c r="B976" s="164"/>
      <c r="C976" s="164"/>
      <c r="D976" s="164"/>
      <c r="E976" s="164"/>
      <c r="F976" s="164"/>
      <c r="G976" s="164"/>
      <c r="H976" s="164"/>
      <c r="I976" s="164"/>
      <c r="J976" s="164"/>
      <c r="K976" s="164"/>
      <c r="L976" s="164"/>
      <c r="M976" s="164"/>
      <c r="N976" s="164"/>
      <c r="O976" s="164"/>
      <c r="P976" s="164"/>
      <c r="Q976" s="164"/>
      <c r="R976" s="164"/>
      <c r="S976" s="164"/>
      <c r="T976" s="164"/>
      <c r="U976" s="164"/>
      <c r="V976" s="164"/>
      <c r="W976" s="164"/>
      <c r="X976" s="164"/>
      <c r="Y976" s="164"/>
      <c r="Z976" s="164"/>
    </row>
    <row r="977" ht="13.5" customHeight="1">
      <c r="A977" s="164"/>
      <c r="B977" s="164"/>
      <c r="C977" s="164"/>
      <c r="D977" s="164"/>
      <c r="E977" s="164"/>
      <c r="F977" s="164"/>
      <c r="G977" s="164"/>
      <c r="H977" s="164"/>
      <c r="I977" s="164"/>
      <c r="J977" s="164"/>
      <c r="K977" s="164"/>
      <c r="L977" s="164"/>
      <c r="M977" s="164"/>
      <c r="N977" s="164"/>
      <c r="O977" s="164"/>
      <c r="P977" s="164"/>
      <c r="Q977" s="164"/>
      <c r="R977" s="164"/>
      <c r="S977" s="164"/>
      <c r="T977" s="164"/>
      <c r="U977" s="164"/>
      <c r="V977" s="164"/>
      <c r="W977" s="164"/>
      <c r="X977" s="164"/>
      <c r="Y977" s="164"/>
      <c r="Z977" s="164"/>
    </row>
    <row r="978" ht="13.5" customHeight="1">
      <c r="A978" s="164"/>
      <c r="B978" s="164"/>
      <c r="C978" s="164"/>
      <c r="D978" s="164"/>
      <c r="E978" s="164"/>
      <c r="F978" s="164"/>
      <c r="G978" s="164"/>
      <c r="H978" s="164"/>
      <c r="I978" s="164"/>
      <c r="J978" s="164"/>
      <c r="K978" s="164"/>
      <c r="L978" s="164"/>
      <c r="M978" s="164"/>
      <c r="N978" s="164"/>
      <c r="O978" s="164"/>
      <c r="P978" s="164"/>
      <c r="Q978" s="164"/>
      <c r="R978" s="164"/>
      <c r="S978" s="164"/>
      <c r="T978" s="164"/>
      <c r="U978" s="164"/>
      <c r="V978" s="164"/>
      <c r="W978" s="164"/>
      <c r="X978" s="164"/>
      <c r="Y978" s="164"/>
      <c r="Z978" s="164"/>
    </row>
    <row r="979" ht="13.5" customHeight="1">
      <c r="A979" s="164"/>
      <c r="B979" s="164"/>
      <c r="C979" s="164"/>
      <c r="D979" s="164"/>
      <c r="E979" s="164"/>
      <c r="F979" s="164"/>
      <c r="G979" s="164"/>
      <c r="H979" s="164"/>
      <c r="I979" s="164"/>
      <c r="J979" s="164"/>
      <c r="K979" s="164"/>
      <c r="L979" s="164"/>
      <c r="M979" s="164"/>
      <c r="N979" s="164"/>
      <c r="O979" s="164"/>
      <c r="P979" s="164"/>
      <c r="Q979" s="164"/>
      <c r="R979" s="164"/>
      <c r="S979" s="164"/>
      <c r="T979" s="164"/>
      <c r="U979" s="164"/>
      <c r="V979" s="164"/>
      <c r="W979" s="164"/>
      <c r="X979" s="164"/>
      <c r="Y979" s="164"/>
      <c r="Z979" s="164"/>
    </row>
    <row r="980" ht="13.5" customHeight="1">
      <c r="A980" s="164"/>
      <c r="B980" s="164"/>
      <c r="C980" s="164"/>
      <c r="D980" s="164"/>
      <c r="E980" s="164"/>
      <c r="F980" s="164"/>
      <c r="G980" s="164"/>
      <c r="H980" s="164"/>
      <c r="I980" s="164"/>
      <c r="J980" s="164"/>
      <c r="K980" s="164"/>
      <c r="L980" s="164"/>
      <c r="M980" s="164"/>
      <c r="N980" s="164"/>
      <c r="O980" s="164"/>
      <c r="P980" s="164"/>
      <c r="Q980" s="164"/>
      <c r="R980" s="164"/>
      <c r="S980" s="164"/>
      <c r="T980" s="164"/>
      <c r="U980" s="164"/>
      <c r="V980" s="164"/>
      <c r="W980" s="164"/>
      <c r="X980" s="164"/>
      <c r="Y980" s="164"/>
      <c r="Z980" s="164"/>
    </row>
    <row r="981" ht="13.5" customHeight="1">
      <c r="A981" s="164"/>
      <c r="B981" s="164"/>
      <c r="C981" s="164"/>
      <c r="D981" s="164"/>
      <c r="E981" s="164"/>
      <c r="F981" s="164"/>
      <c r="G981" s="164"/>
      <c r="H981" s="164"/>
      <c r="I981" s="164"/>
      <c r="J981" s="164"/>
      <c r="K981" s="164"/>
      <c r="L981" s="164"/>
      <c r="M981" s="164"/>
      <c r="N981" s="164"/>
      <c r="O981" s="164"/>
      <c r="P981" s="164"/>
      <c r="Q981" s="164"/>
      <c r="R981" s="164"/>
      <c r="S981" s="164"/>
      <c r="T981" s="164"/>
      <c r="U981" s="164"/>
      <c r="V981" s="164"/>
      <c r="W981" s="164"/>
      <c r="X981" s="164"/>
      <c r="Y981" s="164"/>
      <c r="Z981" s="164"/>
    </row>
    <row r="982" ht="13.5" customHeight="1">
      <c r="A982" s="164"/>
      <c r="B982" s="164"/>
      <c r="C982" s="164"/>
      <c r="D982" s="164"/>
      <c r="E982" s="164"/>
      <c r="F982" s="164"/>
      <c r="G982" s="164"/>
      <c r="H982" s="164"/>
      <c r="I982" s="164"/>
      <c r="J982" s="164"/>
      <c r="K982" s="164"/>
      <c r="L982" s="164"/>
      <c r="M982" s="164"/>
      <c r="N982" s="164"/>
      <c r="O982" s="164"/>
      <c r="P982" s="164"/>
      <c r="Q982" s="164"/>
      <c r="R982" s="164"/>
      <c r="S982" s="164"/>
      <c r="T982" s="164"/>
      <c r="U982" s="164"/>
      <c r="V982" s="164"/>
      <c r="W982" s="164"/>
      <c r="X982" s="164"/>
      <c r="Y982" s="164"/>
      <c r="Z982" s="164"/>
    </row>
    <row r="983" ht="13.5" customHeight="1">
      <c r="A983" s="164"/>
      <c r="B983" s="164"/>
      <c r="C983" s="164"/>
      <c r="D983" s="164"/>
      <c r="E983" s="164"/>
      <c r="F983" s="164"/>
      <c r="G983" s="164"/>
      <c r="H983" s="164"/>
      <c r="I983" s="164"/>
      <c r="J983" s="164"/>
      <c r="K983" s="164"/>
      <c r="L983" s="164"/>
      <c r="M983" s="164"/>
      <c r="N983" s="164"/>
      <c r="O983" s="164"/>
      <c r="P983" s="164"/>
      <c r="Q983" s="164"/>
      <c r="R983" s="164"/>
      <c r="S983" s="164"/>
      <c r="T983" s="164"/>
      <c r="U983" s="164"/>
      <c r="V983" s="164"/>
      <c r="W983" s="164"/>
      <c r="X983" s="164"/>
      <c r="Y983" s="164"/>
      <c r="Z983" s="164"/>
    </row>
    <row r="984" ht="13.5" customHeight="1">
      <c r="A984" s="164"/>
      <c r="B984" s="164"/>
      <c r="C984" s="164"/>
      <c r="D984" s="164"/>
      <c r="E984" s="164"/>
      <c r="F984" s="164"/>
      <c r="G984" s="164"/>
      <c r="H984" s="164"/>
      <c r="I984" s="164"/>
      <c r="J984" s="164"/>
      <c r="K984" s="164"/>
      <c r="L984" s="164"/>
      <c r="M984" s="164"/>
      <c r="N984" s="164"/>
      <c r="O984" s="164"/>
      <c r="P984" s="164"/>
      <c r="Q984" s="164"/>
      <c r="R984" s="164"/>
      <c r="S984" s="164"/>
      <c r="T984" s="164"/>
      <c r="U984" s="164"/>
      <c r="V984" s="164"/>
      <c r="W984" s="164"/>
      <c r="X984" s="164"/>
      <c r="Y984" s="164"/>
      <c r="Z984" s="164"/>
    </row>
    <row r="985" ht="13.5" customHeight="1">
      <c r="A985" s="164"/>
      <c r="B985" s="164"/>
      <c r="C985" s="164"/>
      <c r="D985" s="164"/>
      <c r="E985" s="164"/>
      <c r="F985" s="164"/>
      <c r="G985" s="164"/>
      <c r="H985" s="164"/>
      <c r="I985" s="164"/>
      <c r="J985" s="164"/>
      <c r="K985" s="164"/>
      <c r="L985" s="164"/>
      <c r="M985" s="164"/>
      <c r="N985" s="164"/>
      <c r="O985" s="164"/>
      <c r="P985" s="164"/>
      <c r="Q985" s="164"/>
      <c r="R985" s="164"/>
      <c r="S985" s="164"/>
      <c r="T985" s="164"/>
      <c r="U985" s="164"/>
      <c r="V985" s="164"/>
      <c r="W985" s="164"/>
      <c r="X985" s="164"/>
      <c r="Y985" s="164"/>
      <c r="Z985" s="164"/>
    </row>
    <row r="986" ht="13.5" customHeight="1">
      <c r="A986" s="164"/>
      <c r="B986" s="164"/>
      <c r="C986" s="164"/>
      <c r="D986" s="164"/>
      <c r="E986" s="164"/>
      <c r="F986" s="164"/>
      <c r="G986" s="164"/>
      <c r="H986" s="164"/>
      <c r="I986" s="164"/>
      <c r="J986" s="164"/>
      <c r="K986" s="164"/>
      <c r="L986" s="164"/>
      <c r="M986" s="164"/>
      <c r="N986" s="164"/>
      <c r="O986" s="164"/>
      <c r="P986" s="164"/>
      <c r="Q986" s="164"/>
      <c r="R986" s="164"/>
      <c r="S986" s="164"/>
      <c r="T986" s="164"/>
      <c r="U986" s="164"/>
      <c r="V986" s="164"/>
      <c r="W986" s="164"/>
      <c r="X986" s="164"/>
      <c r="Y986" s="164"/>
      <c r="Z986" s="164"/>
    </row>
    <row r="987" ht="13.5" customHeight="1">
      <c r="A987" s="164"/>
      <c r="B987" s="164"/>
      <c r="C987" s="164"/>
      <c r="D987" s="164"/>
      <c r="E987" s="164"/>
      <c r="F987" s="164"/>
      <c r="G987" s="164"/>
      <c r="H987" s="164"/>
      <c r="I987" s="164"/>
      <c r="J987" s="164"/>
      <c r="K987" s="164"/>
      <c r="L987" s="164"/>
      <c r="M987" s="164"/>
      <c r="N987" s="164"/>
      <c r="O987" s="164"/>
      <c r="P987" s="164"/>
      <c r="Q987" s="164"/>
      <c r="R987" s="164"/>
      <c r="S987" s="164"/>
      <c r="T987" s="164"/>
      <c r="U987" s="164"/>
      <c r="V987" s="164"/>
      <c r="W987" s="164"/>
      <c r="X987" s="164"/>
      <c r="Y987" s="164"/>
      <c r="Z987" s="164"/>
    </row>
    <row r="988" ht="13.5" customHeight="1">
      <c r="A988" s="164"/>
      <c r="B988" s="164"/>
      <c r="C988" s="164"/>
      <c r="D988" s="164"/>
      <c r="E988" s="164"/>
      <c r="F988" s="164"/>
      <c r="G988" s="164"/>
      <c r="H988" s="164"/>
      <c r="I988" s="164"/>
      <c r="J988" s="164"/>
      <c r="K988" s="164"/>
      <c r="L988" s="164"/>
      <c r="M988" s="164"/>
      <c r="N988" s="164"/>
      <c r="O988" s="164"/>
      <c r="P988" s="164"/>
      <c r="Q988" s="164"/>
      <c r="R988" s="164"/>
      <c r="S988" s="164"/>
      <c r="T988" s="164"/>
      <c r="U988" s="164"/>
      <c r="V988" s="164"/>
      <c r="W988" s="164"/>
      <c r="X988" s="164"/>
      <c r="Y988" s="164"/>
      <c r="Z988" s="164"/>
    </row>
    <row r="989" ht="13.5" customHeight="1">
      <c r="A989" s="164"/>
      <c r="B989" s="164"/>
      <c r="C989" s="164"/>
      <c r="D989" s="164"/>
      <c r="E989" s="164"/>
      <c r="F989" s="164"/>
      <c r="G989" s="164"/>
      <c r="H989" s="164"/>
      <c r="I989" s="164"/>
      <c r="J989" s="164"/>
      <c r="K989" s="164"/>
      <c r="L989" s="164"/>
      <c r="M989" s="164"/>
      <c r="N989" s="164"/>
      <c r="O989" s="164"/>
      <c r="P989" s="164"/>
      <c r="Q989" s="164"/>
      <c r="R989" s="164"/>
      <c r="S989" s="164"/>
      <c r="T989" s="164"/>
      <c r="U989" s="164"/>
      <c r="V989" s="164"/>
      <c r="W989" s="164"/>
      <c r="X989" s="164"/>
      <c r="Y989" s="164"/>
      <c r="Z989" s="164"/>
    </row>
    <row r="990" ht="13.5" customHeight="1">
      <c r="A990" s="164"/>
      <c r="B990" s="164"/>
      <c r="C990" s="164"/>
      <c r="D990" s="164"/>
      <c r="E990" s="164"/>
      <c r="F990" s="164"/>
      <c r="G990" s="164"/>
      <c r="H990" s="164"/>
      <c r="I990" s="164"/>
      <c r="J990" s="164"/>
      <c r="K990" s="164"/>
      <c r="L990" s="164"/>
      <c r="M990" s="164"/>
      <c r="N990" s="164"/>
      <c r="O990" s="164"/>
      <c r="P990" s="164"/>
      <c r="Q990" s="164"/>
      <c r="R990" s="164"/>
      <c r="S990" s="164"/>
      <c r="T990" s="164"/>
      <c r="U990" s="164"/>
      <c r="V990" s="164"/>
      <c r="W990" s="164"/>
      <c r="X990" s="164"/>
      <c r="Y990" s="164"/>
      <c r="Z990" s="164"/>
    </row>
    <row r="991" ht="13.5" customHeight="1">
      <c r="A991" s="164"/>
      <c r="B991" s="164"/>
      <c r="C991" s="164"/>
      <c r="D991" s="164"/>
      <c r="E991" s="164"/>
      <c r="F991" s="164"/>
      <c r="G991" s="164"/>
      <c r="H991" s="164"/>
      <c r="I991" s="164"/>
      <c r="J991" s="164"/>
      <c r="K991" s="164"/>
      <c r="L991" s="164"/>
      <c r="M991" s="164"/>
      <c r="N991" s="164"/>
      <c r="O991" s="164"/>
      <c r="P991" s="164"/>
      <c r="Q991" s="164"/>
      <c r="R991" s="164"/>
      <c r="S991" s="164"/>
      <c r="T991" s="164"/>
      <c r="U991" s="164"/>
      <c r="V991" s="164"/>
      <c r="W991" s="164"/>
      <c r="X991" s="164"/>
      <c r="Y991" s="164"/>
      <c r="Z991" s="164"/>
    </row>
    <row r="992" ht="13.5" customHeight="1">
      <c r="A992" s="164"/>
      <c r="B992" s="164"/>
      <c r="C992" s="164"/>
      <c r="D992" s="164"/>
      <c r="E992" s="164"/>
      <c r="F992" s="164"/>
      <c r="G992" s="164"/>
      <c r="H992" s="164"/>
      <c r="I992" s="164"/>
      <c r="J992" s="164"/>
      <c r="K992" s="164"/>
      <c r="L992" s="164"/>
      <c r="M992" s="164"/>
      <c r="N992" s="164"/>
      <c r="O992" s="164"/>
      <c r="P992" s="164"/>
      <c r="Q992" s="164"/>
      <c r="R992" s="164"/>
      <c r="S992" s="164"/>
      <c r="T992" s="164"/>
      <c r="U992" s="164"/>
      <c r="V992" s="164"/>
      <c r="W992" s="164"/>
      <c r="X992" s="164"/>
      <c r="Y992" s="164"/>
      <c r="Z992" s="164"/>
    </row>
    <row r="993" ht="13.5" customHeight="1">
      <c r="A993" s="164"/>
      <c r="B993" s="164"/>
      <c r="C993" s="164"/>
      <c r="D993" s="164"/>
      <c r="E993" s="164"/>
      <c r="F993" s="164"/>
      <c r="G993" s="164"/>
      <c r="H993" s="164"/>
      <c r="I993" s="164"/>
      <c r="J993" s="164"/>
      <c r="K993" s="164"/>
      <c r="L993" s="164"/>
      <c r="M993" s="164"/>
      <c r="N993" s="164"/>
      <c r="O993" s="164"/>
      <c r="P993" s="164"/>
      <c r="Q993" s="164"/>
      <c r="R993" s="164"/>
      <c r="S993" s="164"/>
      <c r="T993" s="164"/>
      <c r="U993" s="164"/>
      <c r="V993" s="164"/>
      <c r="W993" s="164"/>
      <c r="X993" s="164"/>
      <c r="Y993" s="164"/>
      <c r="Z993" s="164"/>
    </row>
    <row r="994" ht="13.5" customHeight="1">
      <c r="A994" s="164"/>
      <c r="B994" s="164"/>
      <c r="C994" s="164"/>
      <c r="D994" s="164"/>
      <c r="E994" s="164"/>
      <c r="F994" s="164"/>
      <c r="G994" s="164"/>
      <c r="H994" s="164"/>
      <c r="I994" s="164"/>
      <c r="J994" s="164"/>
      <c r="K994" s="164"/>
      <c r="L994" s="164"/>
      <c r="M994" s="164"/>
      <c r="N994" s="164"/>
      <c r="O994" s="164"/>
      <c r="P994" s="164"/>
      <c r="Q994" s="164"/>
      <c r="R994" s="164"/>
      <c r="S994" s="164"/>
      <c r="T994" s="164"/>
      <c r="U994" s="164"/>
      <c r="V994" s="164"/>
      <c r="W994" s="164"/>
      <c r="X994" s="164"/>
      <c r="Y994" s="164"/>
      <c r="Z994" s="164"/>
    </row>
    <row r="995" ht="13.5" customHeight="1">
      <c r="A995" s="164"/>
      <c r="B995" s="164"/>
      <c r="C995" s="164"/>
      <c r="D995" s="164"/>
      <c r="E995" s="164"/>
      <c r="F995" s="164"/>
      <c r="G995" s="164"/>
      <c r="H995" s="164"/>
      <c r="I995" s="164"/>
      <c r="J995" s="164"/>
      <c r="K995" s="164"/>
      <c r="L995" s="164"/>
      <c r="M995" s="164"/>
      <c r="N995" s="164"/>
      <c r="O995" s="164"/>
      <c r="P995" s="164"/>
      <c r="Q995" s="164"/>
      <c r="R995" s="164"/>
      <c r="S995" s="164"/>
      <c r="T995" s="164"/>
      <c r="U995" s="164"/>
      <c r="V995" s="164"/>
      <c r="W995" s="164"/>
      <c r="X995" s="164"/>
      <c r="Y995" s="164"/>
      <c r="Z995" s="164"/>
    </row>
    <row r="996" ht="13.5" customHeight="1">
      <c r="A996" s="164"/>
      <c r="B996" s="164"/>
      <c r="C996" s="164"/>
      <c r="D996" s="164"/>
      <c r="E996" s="164"/>
      <c r="F996" s="164"/>
      <c r="G996" s="164"/>
      <c r="H996" s="164"/>
      <c r="I996" s="164"/>
      <c r="J996" s="164"/>
      <c r="K996" s="164"/>
      <c r="L996" s="164"/>
      <c r="M996" s="164"/>
      <c r="N996" s="164"/>
      <c r="O996" s="164"/>
      <c r="P996" s="164"/>
      <c r="Q996" s="164"/>
      <c r="R996" s="164"/>
      <c r="S996" s="164"/>
      <c r="T996" s="164"/>
      <c r="U996" s="164"/>
      <c r="V996" s="164"/>
      <c r="W996" s="164"/>
      <c r="X996" s="164"/>
      <c r="Y996" s="164"/>
      <c r="Z996" s="164"/>
    </row>
    <row r="997" ht="13.5" customHeight="1">
      <c r="A997" s="164"/>
      <c r="B997" s="164"/>
      <c r="C997" s="164"/>
      <c r="D997" s="164"/>
      <c r="E997" s="164"/>
      <c r="F997" s="164"/>
      <c r="G997" s="164"/>
      <c r="H997" s="164"/>
      <c r="I997" s="164"/>
      <c r="J997" s="164"/>
      <c r="K997" s="164"/>
      <c r="L997" s="164"/>
      <c r="M997" s="164"/>
      <c r="N997" s="164"/>
      <c r="O997" s="164"/>
      <c r="P997" s="164"/>
      <c r="Q997" s="164"/>
      <c r="R997" s="164"/>
      <c r="S997" s="164"/>
      <c r="T997" s="164"/>
      <c r="U997" s="164"/>
      <c r="V997" s="164"/>
      <c r="W997" s="164"/>
      <c r="X997" s="164"/>
      <c r="Y997" s="164"/>
      <c r="Z997" s="164"/>
    </row>
    <row r="998" ht="13.5" customHeight="1">
      <c r="A998" s="164"/>
      <c r="B998" s="164"/>
      <c r="C998" s="164"/>
      <c r="D998" s="164"/>
      <c r="E998" s="164"/>
      <c r="F998" s="164"/>
      <c r="G998" s="164"/>
      <c r="H998" s="164"/>
      <c r="I998" s="164"/>
      <c r="J998" s="164"/>
      <c r="K998" s="164"/>
      <c r="L998" s="164"/>
      <c r="M998" s="164"/>
      <c r="N998" s="164"/>
      <c r="O998" s="164"/>
      <c r="P998" s="164"/>
      <c r="Q998" s="164"/>
      <c r="R998" s="164"/>
      <c r="S998" s="164"/>
      <c r="T998" s="164"/>
      <c r="U998" s="164"/>
      <c r="V998" s="164"/>
      <c r="W998" s="164"/>
      <c r="X998" s="164"/>
      <c r="Y998" s="164"/>
      <c r="Z998" s="164"/>
    </row>
    <row r="999" ht="13.5" customHeight="1">
      <c r="A999" s="164"/>
      <c r="B999" s="164"/>
      <c r="C999" s="164"/>
      <c r="D999" s="164"/>
      <c r="E999" s="164"/>
      <c r="F999" s="164"/>
      <c r="G999" s="164"/>
      <c r="H999" s="164"/>
      <c r="I999" s="164"/>
      <c r="J999" s="164"/>
      <c r="K999" s="164"/>
      <c r="L999" s="164"/>
      <c r="M999" s="164"/>
      <c r="N999" s="164"/>
      <c r="O999" s="164"/>
      <c r="P999" s="164"/>
      <c r="Q999" s="164"/>
      <c r="R999" s="164"/>
      <c r="S999" s="164"/>
      <c r="T999" s="164"/>
      <c r="U999" s="164"/>
      <c r="V999" s="164"/>
      <c r="W999" s="164"/>
      <c r="X999" s="164"/>
      <c r="Y999" s="164"/>
      <c r="Z999" s="164"/>
    </row>
    <row r="1000" ht="13.5" customHeight="1">
      <c r="A1000" s="164"/>
      <c r="B1000" s="164"/>
      <c r="C1000" s="164"/>
      <c r="D1000" s="164"/>
      <c r="E1000" s="164"/>
      <c r="F1000" s="164"/>
      <c r="G1000" s="164"/>
      <c r="H1000" s="164"/>
      <c r="I1000" s="164"/>
      <c r="J1000" s="164"/>
      <c r="K1000" s="164"/>
      <c r="L1000" s="164"/>
      <c r="M1000" s="164"/>
      <c r="N1000" s="164"/>
      <c r="O1000" s="164"/>
      <c r="P1000" s="164"/>
      <c r="Q1000" s="164"/>
      <c r="R1000" s="164"/>
      <c r="S1000" s="164"/>
      <c r="T1000" s="164"/>
      <c r="U1000" s="164"/>
      <c r="V1000" s="164"/>
      <c r="W1000" s="164"/>
      <c r="X1000" s="164"/>
      <c r="Y1000" s="164"/>
      <c r="Z1000" s="164"/>
    </row>
  </sheetData>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9.89"/>
    <col customWidth="1" min="2" max="2" width="8.11"/>
    <col customWidth="1" min="3" max="3" width="25.0"/>
    <col customWidth="1" min="4" max="4" width="12.22"/>
    <col customWidth="1" min="5" max="5" width="6.67"/>
    <col customWidth="1" min="6" max="6" width="8.78"/>
    <col customWidth="1" min="7" max="7" width="11.22"/>
    <col customWidth="1" min="8" max="8" width="15.22"/>
    <col customWidth="1" min="9" max="9" width="11.22"/>
    <col customWidth="1" min="10" max="10" width="12.44"/>
    <col customWidth="1" min="11" max="11" width="8.22"/>
    <col customWidth="1" min="12" max="26" width="8.78"/>
  </cols>
  <sheetData>
    <row r="1" ht="12.0" customHeight="1">
      <c r="A1" s="208"/>
      <c r="B1" s="208"/>
      <c r="C1" s="208"/>
      <c r="D1" s="208"/>
      <c r="E1" s="208"/>
      <c r="F1" s="208"/>
      <c r="G1" s="208"/>
      <c r="H1" s="208"/>
      <c r="I1" s="208"/>
      <c r="J1" s="208"/>
      <c r="K1" s="208"/>
      <c r="M1" s="208"/>
      <c r="N1" s="208"/>
      <c r="O1" s="208"/>
      <c r="P1" s="208"/>
      <c r="Q1" s="208"/>
      <c r="R1" s="208"/>
      <c r="S1" s="208"/>
      <c r="T1" s="208"/>
      <c r="U1" s="208"/>
      <c r="V1" s="208"/>
      <c r="W1" s="208"/>
      <c r="X1" s="208"/>
      <c r="Y1" s="208"/>
      <c r="Z1" s="208"/>
    </row>
    <row r="2" ht="12.0" customHeight="1">
      <c r="A2" s="208"/>
      <c r="B2" s="209"/>
      <c r="C2" s="208"/>
      <c r="D2" s="208"/>
      <c r="E2" s="208"/>
      <c r="F2" s="208"/>
      <c r="G2" s="208"/>
      <c r="H2" s="208"/>
      <c r="I2" s="208"/>
      <c r="J2" s="208"/>
      <c r="K2" s="208"/>
      <c r="M2" s="208"/>
      <c r="N2" s="208"/>
      <c r="O2" s="208"/>
      <c r="P2" s="208"/>
      <c r="Q2" s="208"/>
      <c r="R2" s="208"/>
      <c r="S2" s="208"/>
      <c r="T2" s="208"/>
      <c r="U2" s="208"/>
      <c r="V2" s="208"/>
      <c r="W2" s="208"/>
      <c r="X2" s="208"/>
      <c r="Y2" s="208"/>
      <c r="Z2" s="208"/>
    </row>
    <row r="3" ht="12.0" customHeight="1">
      <c r="A3" s="208"/>
      <c r="B3" s="208"/>
      <c r="C3" s="208"/>
      <c r="D3" s="208"/>
      <c r="E3" s="208"/>
      <c r="F3" s="208"/>
      <c r="G3" s="208"/>
      <c r="H3" s="208"/>
      <c r="I3" s="208"/>
      <c r="J3" s="208"/>
      <c r="K3" s="208"/>
      <c r="M3" s="208"/>
      <c r="N3" s="208"/>
      <c r="O3" s="208"/>
      <c r="P3" s="208"/>
      <c r="Q3" s="208"/>
      <c r="R3" s="208"/>
      <c r="S3" s="208"/>
      <c r="T3" s="208"/>
      <c r="U3" s="208"/>
      <c r="V3" s="208"/>
      <c r="W3" s="208"/>
      <c r="X3" s="208"/>
      <c r="Y3" s="208"/>
      <c r="Z3" s="208"/>
    </row>
    <row r="4" ht="12.0" customHeight="1">
      <c r="M4" s="208"/>
      <c r="N4" s="208"/>
      <c r="O4" s="208"/>
      <c r="P4" s="208"/>
      <c r="Q4" s="208"/>
      <c r="R4" s="208"/>
      <c r="S4" s="208"/>
      <c r="T4" s="208"/>
      <c r="U4" s="208"/>
      <c r="V4" s="208"/>
      <c r="W4" s="208"/>
      <c r="X4" s="208"/>
      <c r="Y4" s="208"/>
      <c r="Z4" s="208"/>
    </row>
    <row r="5" ht="12.0" customHeight="1">
      <c r="M5" s="208"/>
      <c r="N5" s="208"/>
      <c r="O5" s="208"/>
      <c r="P5" s="208"/>
      <c r="Q5" s="208"/>
      <c r="R5" s="208"/>
      <c r="S5" s="208"/>
      <c r="T5" s="208"/>
      <c r="U5" s="208"/>
      <c r="V5" s="208"/>
      <c r="W5" s="208"/>
      <c r="X5" s="208"/>
      <c r="Y5" s="208"/>
      <c r="Z5" s="208"/>
    </row>
    <row r="6" ht="12.0" customHeight="1">
      <c r="M6" s="208"/>
      <c r="N6" s="208"/>
      <c r="O6" s="208"/>
      <c r="P6" s="208"/>
      <c r="Q6" s="208"/>
      <c r="R6" s="208"/>
      <c r="S6" s="208"/>
      <c r="T6" s="208"/>
      <c r="U6" s="208"/>
      <c r="V6" s="208"/>
      <c r="W6" s="208"/>
      <c r="X6" s="208"/>
      <c r="Y6" s="208"/>
      <c r="Z6" s="208"/>
    </row>
    <row r="7" ht="12.0" customHeight="1">
      <c r="M7" s="208"/>
      <c r="N7" s="208"/>
      <c r="O7" s="208"/>
      <c r="P7" s="208"/>
      <c r="Q7" s="208"/>
      <c r="R7" s="208"/>
      <c r="S7" s="208"/>
      <c r="T7" s="208"/>
      <c r="U7" s="208"/>
      <c r="V7" s="208"/>
      <c r="W7" s="208"/>
      <c r="X7" s="208"/>
      <c r="Y7" s="208"/>
      <c r="Z7" s="208"/>
    </row>
    <row r="8" ht="12.0" customHeight="1">
      <c r="M8" s="208"/>
      <c r="N8" s="208"/>
      <c r="O8" s="208"/>
      <c r="P8" s="208"/>
      <c r="Q8" s="208"/>
      <c r="R8" s="208"/>
      <c r="S8" s="208"/>
      <c r="T8" s="208"/>
      <c r="U8" s="208"/>
      <c r="V8" s="208"/>
      <c r="W8" s="208"/>
      <c r="X8" s="208"/>
      <c r="Y8" s="208"/>
      <c r="Z8" s="208"/>
    </row>
    <row r="9" ht="12.0" customHeight="1">
      <c r="M9" s="208"/>
      <c r="N9" s="208"/>
      <c r="O9" s="208"/>
      <c r="P9" s="208"/>
      <c r="Q9" s="208"/>
      <c r="R9" s="208"/>
      <c r="S9" s="208"/>
      <c r="T9" s="208"/>
      <c r="U9" s="208"/>
      <c r="V9" s="208"/>
      <c r="W9" s="208"/>
      <c r="X9" s="208"/>
      <c r="Y9" s="208"/>
      <c r="Z9" s="208"/>
    </row>
    <row r="10" ht="12.0" customHeight="1">
      <c r="M10" s="208"/>
      <c r="N10" s="208"/>
      <c r="O10" s="208"/>
      <c r="P10" s="208"/>
      <c r="Q10" s="208"/>
      <c r="R10" s="208"/>
      <c r="S10" s="208"/>
      <c r="T10" s="208"/>
      <c r="U10" s="208"/>
      <c r="V10" s="208"/>
      <c r="W10" s="208"/>
      <c r="X10" s="208"/>
      <c r="Y10" s="208"/>
      <c r="Z10" s="208"/>
    </row>
    <row r="11" ht="12.0" customHeight="1">
      <c r="M11" s="208"/>
      <c r="N11" s="208"/>
      <c r="O11" s="208"/>
      <c r="P11" s="208"/>
      <c r="Q11" s="208"/>
      <c r="R11" s="208"/>
      <c r="S11" s="208"/>
      <c r="T11" s="208"/>
      <c r="U11" s="208"/>
      <c r="V11" s="208"/>
      <c r="W11" s="208"/>
      <c r="X11" s="208"/>
      <c r="Y11" s="208"/>
      <c r="Z11" s="208"/>
    </row>
    <row r="12" ht="12.0" customHeight="1">
      <c r="M12" s="208"/>
      <c r="N12" s="208"/>
      <c r="O12" s="208"/>
      <c r="P12" s="208"/>
      <c r="Q12" s="208"/>
      <c r="R12" s="208"/>
      <c r="S12" s="208"/>
      <c r="T12" s="208"/>
      <c r="U12" s="208"/>
      <c r="V12" s="208"/>
      <c r="W12" s="208"/>
      <c r="X12" s="208"/>
      <c r="Y12" s="208"/>
      <c r="Z12" s="208"/>
    </row>
    <row r="13" ht="12.0" customHeight="1">
      <c r="M13" s="208"/>
      <c r="N13" s="208"/>
      <c r="O13" s="208"/>
      <c r="P13" s="208"/>
      <c r="Q13" s="208"/>
      <c r="R13" s="208"/>
      <c r="S13" s="208"/>
      <c r="T13" s="208"/>
      <c r="U13" s="208"/>
      <c r="V13" s="208"/>
      <c r="W13" s="208"/>
      <c r="X13" s="208"/>
      <c r="Y13" s="208"/>
      <c r="Z13" s="208"/>
    </row>
    <row r="14" ht="12.0" customHeight="1">
      <c r="M14" s="208"/>
      <c r="N14" s="208"/>
      <c r="O14" s="208"/>
      <c r="P14" s="208"/>
      <c r="Q14" s="208"/>
      <c r="R14" s="208"/>
      <c r="S14" s="208"/>
      <c r="T14" s="208"/>
      <c r="U14" s="208"/>
      <c r="V14" s="208"/>
      <c r="W14" s="208"/>
      <c r="X14" s="208"/>
      <c r="Y14" s="208"/>
      <c r="Z14" s="208"/>
    </row>
    <row r="15" ht="12.0" customHeight="1">
      <c r="M15" s="208"/>
      <c r="N15" s="208"/>
      <c r="O15" s="208"/>
      <c r="P15" s="208"/>
      <c r="Q15" s="208"/>
      <c r="R15" s="208"/>
      <c r="S15" s="208"/>
      <c r="T15" s="208"/>
      <c r="U15" s="208"/>
      <c r="V15" s="208"/>
      <c r="W15" s="208"/>
      <c r="X15" s="208"/>
      <c r="Y15" s="208"/>
      <c r="Z15" s="208"/>
    </row>
    <row r="16" ht="12.0" customHeight="1">
      <c r="M16" s="208"/>
      <c r="N16" s="208"/>
      <c r="O16" s="208"/>
      <c r="P16" s="208"/>
      <c r="Q16" s="208"/>
      <c r="R16" s="208"/>
      <c r="S16" s="208"/>
      <c r="T16" s="208"/>
      <c r="U16" s="208"/>
      <c r="V16" s="208"/>
      <c r="W16" s="208"/>
      <c r="X16" s="208"/>
      <c r="Y16" s="208"/>
      <c r="Z16" s="208"/>
    </row>
    <row r="17" ht="12.0" customHeight="1">
      <c r="M17" s="208"/>
      <c r="N17" s="208"/>
      <c r="O17" s="208"/>
      <c r="P17" s="208"/>
      <c r="Q17" s="208"/>
      <c r="R17" s="208"/>
      <c r="S17" s="208"/>
      <c r="T17" s="208"/>
      <c r="U17" s="208"/>
      <c r="V17" s="208"/>
      <c r="W17" s="208"/>
      <c r="X17" s="208"/>
      <c r="Y17" s="208"/>
      <c r="Z17" s="208"/>
    </row>
    <row r="18" ht="12.0" customHeight="1">
      <c r="M18" s="208"/>
      <c r="N18" s="208"/>
      <c r="O18" s="208"/>
      <c r="P18" s="208"/>
      <c r="Q18" s="208"/>
      <c r="R18" s="208"/>
      <c r="S18" s="208"/>
      <c r="T18" s="208"/>
      <c r="U18" s="208"/>
      <c r="V18" s="208"/>
      <c r="W18" s="208"/>
      <c r="X18" s="208"/>
      <c r="Y18" s="208"/>
      <c r="Z18" s="208"/>
    </row>
    <row r="19" ht="12.0" customHeight="1">
      <c r="M19" s="208"/>
      <c r="N19" s="208"/>
      <c r="O19" s="208"/>
      <c r="P19" s="208"/>
      <c r="Q19" s="208"/>
      <c r="R19" s="208"/>
      <c r="S19" s="208"/>
      <c r="T19" s="208"/>
      <c r="U19" s="208"/>
      <c r="V19" s="208"/>
      <c r="W19" s="208"/>
      <c r="X19" s="208"/>
      <c r="Y19" s="208"/>
      <c r="Z19" s="208"/>
    </row>
    <row r="20" ht="12.0" customHeight="1">
      <c r="M20" s="208"/>
      <c r="N20" s="208"/>
      <c r="O20" s="208"/>
      <c r="P20" s="208"/>
      <c r="Q20" s="208"/>
      <c r="R20" s="208"/>
      <c r="S20" s="208"/>
      <c r="T20" s="208"/>
      <c r="U20" s="208"/>
      <c r="V20" s="208"/>
      <c r="W20" s="208"/>
      <c r="X20" s="208"/>
      <c r="Y20" s="208"/>
      <c r="Z20" s="208"/>
    </row>
    <row r="21" ht="12.0" customHeight="1">
      <c r="M21" s="208"/>
      <c r="N21" s="208"/>
      <c r="O21" s="208"/>
      <c r="P21" s="208"/>
      <c r="Q21" s="208"/>
      <c r="R21" s="208"/>
      <c r="S21" s="208"/>
      <c r="T21" s="208"/>
      <c r="U21" s="208"/>
      <c r="V21" s="208"/>
      <c r="W21" s="208"/>
      <c r="X21" s="208"/>
      <c r="Y21" s="208"/>
      <c r="Z21" s="208"/>
    </row>
    <row r="22" ht="12.0" customHeight="1">
      <c r="M22" s="208"/>
      <c r="N22" s="208"/>
      <c r="O22" s="208"/>
      <c r="P22" s="208"/>
      <c r="Q22" s="208"/>
      <c r="R22" s="208"/>
      <c r="S22" s="208"/>
      <c r="T22" s="208"/>
      <c r="U22" s="208"/>
      <c r="V22" s="208"/>
      <c r="W22" s="208"/>
      <c r="X22" s="208"/>
      <c r="Y22" s="208"/>
      <c r="Z22" s="208"/>
    </row>
    <row r="23" ht="12.0" customHeight="1">
      <c r="M23" s="208"/>
      <c r="N23" s="208"/>
      <c r="O23" s="208"/>
      <c r="P23" s="208"/>
      <c r="Q23" s="208"/>
      <c r="R23" s="208"/>
      <c r="S23" s="208"/>
      <c r="T23" s="208"/>
      <c r="U23" s="208"/>
      <c r="V23" s="208"/>
      <c r="W23" s="208"/>
      <c r="X23" s="208"/>
      <c r="Y23" s="208"/>
      <c r="Z23" s="208"/>
    </row>
    <row r="24" ht="12.0" customHeight="1">
      <c r="M24" s="208"/>
      <c r="N24" s="208"/>
      <c r="O24" s="208"/>
      <c r="P24" s="208"/>
      <c r="Q24" s="208"/>
      <c r="R24" s="208"/>
      <c r="S24" s="208"/>
      <c r="T24" s="208"/>
      <c r="U24" s="208"/>
      <c r="V24" s="208"/>
      <c r="W24" s="208"/>
      <c r="X24" s="208"/>
      <c r="Y24" s="208"/>
      <c r="Z24" s="208"/>
    </row>
    <row r="25" ht="12.0" customHeight="1">
      <c r="M25" s="208"/>
      <c r="N25" s="208"/>
      <c r="O25" s="208"/>
      <c r="P25" s="208"/>
      <c r="Q25" s="208"/>
      <c r="R25" s="208"/>
      <c r="S25" s="208"/>
      <c r="T25" s="208"/>
      <c r="U25" s="208"/>
      <c r="V25" s="208"/>
      <c r="W25" s="208"/>
      <c r="X25" s="208"/>
      <c r="Y25" s="208"/>
      <c r="Z25" s="208"/>
    </row>
    <row r="26" ht="12.0" customHeight="1">
      <c r="M26" s="208"/>
      <c r="N26" s="208"/>
      <c r="O26" s="208"/>
      <c r="P26" s="208"/>
      <c r="Q26" s="208"/>
      <c r="R26" s="208"/>
      <c r="S26" s="208"/>
      <c r="T26" s="208"/>
      <c r="U26" s="208"/>
      <c r="V26" s="208"/>
      <c r="W26" s="208"/>
      <c r="X26" s="208"/>
      <c r="Y26" s="208"/>
      <c r="Z26" s="208"/>
    </row>
    <row r="27" ht="12.0" customHeight="1">
      <c r="M27" s="208"/>
      <c r="N27" s="208"/>
      <c r="O27" s="208"/>
      <c r="P27" s="208"/>
      <c r="Q27" s="208"/>
      <c r="R27" s="208"/>
      <c r="S27" s="208"/>
      <c r="T27" s="208"/>
      <c r="U27" s="208"/>
      <c r="V27" s="208"/>
      <c r="W27" s="208"/>
      <c r="X27" s="208"/>
      <c r="Y27" s="208"/>
      <c r="Z27" s="208"/>
    </row>
    <row r="28" ht="12.0" customHeight="1">
      <c r="M28" s="208"/>
      <c r="N28" s="208"/>
      <c r="O28" s="208"/>
      <c r="P28" s="208"/>
      <c r="Q28" s="208"/>
      <c r="R28" s="208"/>
      <c r="S28" s="208"/>
      <c r="T28" s="208"/>
      <c r="U28" s="208"/>
      <c r="V28" s="208"/>
      <c r="W28" s="208"/>
      <c r="X28" s="208"/>
      <c r="Y28" s="208"/>
      <c r="Z28" s="208"/>
    </row>
    <row r="29" ht="12.0" customHeight="1">
      <c r="M29" s="208"/>
      <c r="N29" s="208"/>
      <c r="O29" s="208"/>
      <c r="P29" s="208"/>
      <c r="Q29" s="208"/>
      <c r="R29" s="208"/>
      <c r="S29" s="208"/>
      <c r="T29" s="208"/>
      <c r="U29" s="208"/>
      <c r="V29" s="208"/>
      <c r="W29" s="208"/>
      <c r="X29" s="208"/>
      <c r="Y29" s="208"/>
      <c r="Z29" s="208"/>
    </row>
    <row r="30" ht="12.0" customHeight="1">
      <c r="M30" s="208"/>
      <c r="N30" s="208"/>
      <c r="O30" s="208"/>
      <c r="P30" s="208"/>
      <c r="Q30" s="208"/>
      <c r="R30" s="208"/>
      <c r="S30" s="208"/>
      <c r="T30" s="208"/>
      <c r="U30" s="208"/>
      <c r="V30" s="208"/>
      <c r="W30" s="208"/>
      <c r="X30" s="208"/>
      <c r="Y30" s="208"/>
      <c r="Z30" s="208"/>
    </row>
    <row r="31" ht="12.0" customHeight="1">
      <c r="M31" s="208"/>
      <c r="N31" s="208"/>
      <c r="O31" s="208"/>
      <c r="P31" s="208"/>
      <c r="Q31" s="208"/>
      <c r="R31" s="208"/>
      <c r="S31" s="208"/>
      <c r="T31" s="208"/>
      <c r="U31" s="208"/>
      <c r="V31" s="208"/>
      <c r="W31" s="208"/>
      <c r="X31" s="208"/>
      <c r="Y31" s="208"/>
      <c r="Z31" s="208"/>
    </row>
    <row r="32" ht="12.0" customHeight="1">
      <c r="M32" s="208"/>
      <c r="N32" s="208"/>
      <c r="O32" s="208"/>
      <c r="P32" s="208"/>
      <c r="Q32" s="208"/>
      <c r="R32" s="208"/>
      <c r="S32" s="208"/>
      <c r="T32" s="208"/>
      <c r="U32" s="208"/>
      <c r="V32" s="208"/>
      <c r="W32" s="208"/>
      <c r="X32" s="208"/>
      <c r="Y32" s="208"/>
      <c r="Z32" s="208"/>
    </row>
    <row r="33" ht="12.0" customHeight="1">
      <c r="M33" s="208"/>
      <c r="N33" s="208"/>
      <c r="O33" s="208"/>
      <c r="P33" s="208"/>
      <c r="Q33" s="208"/>
      <c r="R33" s="208"/>
      <c r="S33" s="208"/>
      <c r="T33" s="208"/>
      <c r="U33" s="208"/>
      <c r="V33" s="208"/>
      <c r="W33" s="208"/>
      <c r="X33" s="208"/>
      <c r="Y33" s="208"/>
      <c r="Z33" s="208"/>
    </row>
    <row r="34" ht="12.0" customHeight="1">
      <c r="M34" s="208"/>
      <c r="N34" s="208"/>
      <c r="O34" s="208"/>
      <c r="P34" s="208"/>
      <c r="Q34" s="208"/>
      <c r="R34" s="208"/>
      <c r="S34" s="208"/>
      <c r="T34" s="208"/>
      <c r="U34" s="208"/>
      <c r="V34" s="208"/>
      <c r="W34" s="208"/>
      <c r="X34" s="208"/>
      <c r="Y34" s="208"/>
      <c r="Z34" s="208"/>
    </row>
    <row r="35" ht="12.0" customHeight="1">
      <c r="M35" s="208"/>
      <c r="N35" s="208"/>
      <c r="O35" s="208"/>
      <c r="P35" s="208"/>
      <c r="Q35" s="208"/>
      <c r="R35" s="208"/>
      <c r="S35" s="208"/>
      <c r="T35" s="208"/>
      <c r="U35" s="208"/>
      <c r="V35" s="208"/>
      <c r="W35" s="208"/>
      <c r="X35" s="208"/>
      <c r="Y35" s="208"/>
      <c r="Z35" s="208"/>
    </row>
    <row r="36" ht="12.0" customHeight="1">
      <c r="M36" s="208"/>
      <c r="N36" s="208"/>
      <c r="O36" s="208"/>
      <c r="P36" s="208"/>
      <c r="Q36" s="208"/>
      <c r="R36" s="208"/>
      <c r="S36" s="208"/>
      <c r="T36" s="208"/>
      <c r="U36" s="208"/>
      <c r="V36" s="208"/>
      <c r="W36" s="208"/>
      <c r="X36" s="208"/>
      <c r="Y36" s="208"/>
      <c r="Z36" s="208"/>
    </row>
    <row r="37" ht="12.0" customHeight="1">
      <c r="M37" s="208"/>
      <c r="N37" s="208"/>
      <c r="O37" s="208"/>
      <c r="P37" s="208"/>
      <c r="Q37" s="208"/>
      <c r="R37" s="208"/>
      <c r="S37" s="208"/>
      <c r="T37" s="208"/>
      <c r="U37" s="208"/>
      <c r="V37" s="208"/>
      <c r="W37" s="208"/>
      <c r="X37" s="208"/>
      <c r="Y37" s="208"/>
      <c r="Z37" s="208"/>
    </row>
    <row r="38" ht="12.0" customHeight="1">
      <c r="M38" s="208"/>
      <c r="N38" s="208"/>
      <c r="O38" s="208"/>
      <c r="P38" s="208"/>
      <c r="Q38" s="208"/>
      <c r="R38" s="208"/>
      <c r="S38" s="208"/>
      <c r="T38" s="208"/>
      <c r="U38" s="208"/>
      <c r="V38" s="208"/>
      <c r="W38" s="208"/>
      <c r="X38" s="208"/>
      <c r="Y38" s="208"/>
      <c r="Z38" s="208"/>
    </row>
    <row r="39" ht="12.0" customHeight="1">
      <c r="M39" s="208"/>
      <c r="N39" s="208"/>
      <c r="O39" s="208"/>
      <c r="P39" s="208"/>
      <c r="Q39" s="208"/>
      <c r="R39" s="208"/>
      <c r="S39" s="208"/>
      <c r="T39" s="208"/>
      <c r="U39" s="208"/>
      <c r="V39" s="208"/>
      <c r="W39" s="208"/>
      <c r="X39" s="208"/>
      <c r="Y39" s="208"/>
      <c r="Z39" s="208"/>
    </row>
    <row r="40" ht="12.0" customHeight="1">
      <c r="M40" s="208"/>
      <c r="N40" s="208"/>
      <c r="O40" s="208"/>
      <c r="P40" s="208"/>
      <c r="Q40" s="208"/>
      <c r="R40" s="208"/>
      <c r="S40" s="208"/>
      <c r="T40" s="208"/>
      <c r="U40" s="208"/>
      <c r="V40" s="208"/>
      <c r="W40" s="208"/>
      <c r="X40" s="208"/>
      <c r="Y40" s="208"/>
      <c r="Z40" s="208"/>
    </row>
    <row r="41" ht="12.0" customHeight="1">
      <c r="M41" s="208"/>
      <c r="N41" s="208"/>
      <c r="O41" s="208"/>
      <c r="P41" s="208"/>
      <c r="Q41" s="208"/>
      <c r="R41" s="208"/>
      <c r="S41" s="208"/>
      <c r="T41" s="208"/>
      <c r="U41" s="208"/>
      <c r="V41" s="208"/>
      <c r="W41" s="208"/>
      <c r="X41" s="208"/>
      <c r="Y41" s="208"/>
      <c r="Z41" s="208"/>
    </row>
    <row r="42" ht="12.0" customHeight="1">
      <c r="M42" s="208"/>
      <c r="N42" s="208"/>
      <c r="O42" s="208"/>
      <c r="P42" s="208"/>
      <c r="Q42" s="208"/>
      <c r="R42" s="208"/>
      <c r="S42" s="208"/>
      <c r="T42" s="208"/>
      <c r="U42" s="208"/>
      <c r="V42" s="208"/>
      <c r="W42" s="208"/>
      <c r="X42" s="208"/>
      <c r="Y42" s="208"/>
      <c r="Z42" s="208"/>
    </row>
    <row r="43" ht="12.0" customHeight="1">
      <c r="M43" s="208"/>
      <c r="N43" s="208"/>
      <c r="O43" s="208"/>
      <c r="P43" s="208"/>
      <c r="Q43" s="208"/>
      <c r="R43" s="208"/>
      <c r="S43" s="208"/>
      <c r="T43" s="208"/>
      <c r="U43" s="208"/>
      <c r="V43" s="208"/>
      <c r="W43" s="208"/>
      <c r="X43" s="208"/>
      <c r="Y43" s="208"/>
      <c r="Z43" s="208"/>
    </row>
    <row r="44" ht="12.0" customHeight="1">
      <c r="M44" s="208"/>
      <c r="N44" s="208"/>
      <c r="O44" s="208"/>
      <c r="P44" s="208"/>
      <c r="Q44" s="208"/>
      <c r="R44" s="208"/>
      <c r="S44" s="208"/>
      <c r="T44" s="208"/>
      <c r="U44" s="208"/>
      <c r="V44" s="208"/>
      <c r="W44" s="208"/>
      <c r="X44" s="208"/>
      <c r="Y44" s="208"/>
      <c r="Z44" s="208"/>
    </row>
    <row r="45" ht="12.0" customHeight="1">
      <c r="M45" s="208"/>
      <c r="N45" s="208"/>
      <c r="O45" s="208"/>
      <c r="P45" s="208"/>
      <c r="Q45" s="208"/>
      <c r="R45" s="208"/>
      <c r="S45" s="208"/>
      <c r="T45" s="208"/>
      <c r="U45" s="208"/>
      <c r="V45" s="208"/>
      <c r="W45" s="208"/>
      <c r="X45" s="208"/>
      <c r="Y45" s="208"/>
      <c r="Z45" s="208"/>
    </row>
    <row r="46" ht="12.0" customHeight="1">
      <c r="M46" s="208"/>
      <c r="N46" s="208"/>
      <c r="O46" s="208"/>
      <c r="P46" s="208"/>
      <c r="Q46" s="208"/>
      <c r="R46" s="208"/>
      <c r="S46" s="208"/>
      <c r="T46" s="208"/>
      <c r="U46" s="208"/>
      <c r="V46" s="208"/>
      <c r="W46" s="208"/>
      <c r="X46" s="208"/>
      <c r="Y46" s="208"/>
      <c r="Z46" s="208"/>
    </row>
    <row r="47" ht="12.0" customHeight="1">
      <c r="M47" s="208"/>
      <c r="N47" s="208"/>
      <c r="O47" s="208"/>
      <c r="P47" s="208"/>
      <c r="Q47" s="208"/>
      <c r="R47" s="208"/>
      <c r="S47" s="208"/>
      <c r="T47" s="208"/>
      <c r="U47" s="208"/>
      <c r="V47" s="208"/>
      <c r="W47" s="208"/>
      <c r="X47" s="208"/>
      <c r="Y47" s="208"/>
      <c r="Z47" s="208"/>
    </row>
    <row r="48" ht="12.0" customHeight="1">
      <c r="M48" s="208"/>
      <c r="N48" s="208"/>
      <c r="O48" s="208"/>
      <c r="P48" s="208"/>
      <c r="Q48" s="208"/>
      <c r="R48" s="208"/>
      <c r="S48" s="208"/>
      <c r="T48" s="208"/>
      <c r="U48" s="208"/>
      <c r="V48" s="208"/>
      <c r="W48" s="208"/>
      <c r="X48" s="208"/>
      <c r="Y48" s="208"/>
      <c r="Z48" s="208"/>
    </row>
    <row r="49" ht="12.0" customHeight="1">
      <c r="M49" s="208"/>
      <c r="N49" s="208"/>
      <c r="O49" s="208"/>
      <c r="P49" s="208"/>
      <c r="Q49" s="208"/>
      <c r="R49" s="208"/>
      <c r="S49" s="208"/>
      <c r="T49" s="208"/>
      <c r="U49" s="208"/>
      <c r="V49" s="208"/>
      <c r="W49" s="208"/>
      <c r="X49" s="208"/>
      <c r="Y49" s="208"/>
      <c r="Z49" s="208"/>
    </row>
    <row r="50" ht="12.0" customHeight="1">
      <c r="M50" s="208"/>
      <c r="N50" s="208"/>
      <c r="O50" s="208"/>
      <c r="P50" s="208"/>
      <c r="Q50" s="208"/>
      <c r="R50" s="208"/>
      <c r="S50" s="208"/>
      <c r="T50" s="208"/>
      <c r="U50" s="208"/>
      <c r="V50" s="208"/>
      <c r="W50" s="208"/>
      <c r="X50" s="208"/>
      <c r="Y50" s="208"/>
      <c r="Z50" s="208"/>
    </row>
    <row r="51" ht="12.0" customHeight="1">
      <c r="M51" s="208"/>
      <c r="N51" s="208"/>
      <c r="O51" s="208"/>
      <c r="P51" s="208"/>
      <c r="Q51" s="208"/>
      <c r="R51" s="208"/>
      <c r="S51" s="208"/>
      <c r="T51" s="208"/>
      <c r="U51" s="208"/>
      <c r="V51" s="208"/>
      <c r="W51" s="208"/>
      <c r="X51" s="208"/>
      <c r="Y51" s="208"/>
      <c r="Z51" s="208"/>
    </row>
    <row r="52" ht="12.0" customHeight="1">
      <c r="M52" s="208"/>
      <c r="N52" s="208"/>
      <c r="O52" s="208"/>
      <c r="P52" s="208"/>
      <c r="Q52" s="208"/>
      <c r="R52" s="208"/>
      <c r="S52" s="208"/>
      <c r="T52" s="208"/>
      <c r="U52" s="208"/>
      <c r="V52" s="208"/>
      <c r="W52" s="208"/>
      <c r="X52" s="208"/>
      <c r="Y52" s="208"/>
      <c r="Z52" s="208"/>
    </row>
    <row r="53" ht="12.0" customHeight="1">
      <c r="M53" s="208"/>
      <c r="N53" s="208"/>
      <c r="O53" s="208"/>
      <c r="P53" s="208"/>
      <c r="Q53" s="208"/>
      <c r="R53" s="208"/>
      <c r="S53" s="208"/>
      <c r="T53" s="208"/>
      <c r="U53" s="208"/>
      <c r="V53" s="208"/>
      <c r="W53" s="208"/>
      <c r="X53" s="208"/>
      <c r="Y53" s="208"/>
      <c r="Z53" s="208"/>
    </row>
    <row r="54" ht="12.0" customHeight="1">
      <c r="M54" s="208"/>
      <c r="N54" s="208"/>
      <c r="O54" s="208"/>
      <c r="P54" s="208"/>
      <c r="Q54" s="208"/>
      <c r="R54" s="208"/>
      <c r="S54" s="208"/>
      <c r="T54" s="208"/>
      <c r="U54" s="208"/>
      <c r="V54" s="208"/>
      <c r="W54" s="208"/>
      <c r="X54" s="208"/>
      <c r="Y54" s="208"/>
      <c r="Z54" s="208"/>
    </row>
    <row r="55" ht="12.0" customHeight="1">
      <c r="M55" s="208"/>
      <c r="N55" s="208"/>
      <c r="O55" s="208"/>
      <c r="P55" s="208"/>
      <c r="Q55" s="208"/>
      <c r="R55" s="208"/>
      <c r="S55" s="208"/>
      <c r="T55" s="208"/>
      <c r="U55" s="208"/>
      <c r="V55" s="208"/>
      <c r="W55" s="208"/>
      <c r="X55" s="208"/>
      <c r="Y55" s="208"/>
      <c r="Z55" s="208"/>
    </row>
    <row r="56" ht="12.0" customHeight="1">
      <c r="M56" s="208"/>
      <c r="N56" s="208"/>
      <c r="O56" s="208"/>
      <c r="P56" s="208"/>
      <c r="Q56" s="208"/>
      <c r="R56" s="208"/>
      <c r="S56" s="208"/>
      <c r="T56" s="208"/>
      <c r="U56" s="208"/>
      <c r="V56" s="208"/>
      <c r="W56" s="208"/>
      <c r="X56" s="208"/>
      <c r="Y56" s="208"/>
      <c r="Z56" s="208"/>
    </row>
    <row r="57" ht="12.0" customHeight="1">
      <c r="M57" s="208"/>
      <c r="N57" s="208"/>
      <c r="O57" s="208"/>
      <c r="P57" s="208"/>
      <c r="Q57" s="208"/>
      <c r="R57" s="208"/>
      <c r="S57" s="208"/>
      <c r="T57" s="208"/>
      <c r="U57" s="208"/>
      <c r="V57" s="208"/>
      <c r="W57" s="208"/>
      <c r="X57" s="208"/>
      <c r="Y57" s="208"/>
      <c r="Z57" s="208"/>
    </row>
    <row r="58" ht="12.0" customHeight="1">
      <c r="M58" s="208"/>
      <c r="N58" s="208"/>
      <c r="O58" s="208"/>
      <c r="P58" s="208"/>
      <c r="Q58" s="208"/>
      <c r="R58" s="208"/>
      <c r="S58" s="208"/>
      <c r="T58" s="208"/>
      <c r="U58" s="208"/>
      <c r="V58" s="208"/>
      <c r="W58" s="208"/>
      <c r="X58" s="208"/>
      <c r="Y58" s="208"/>
      <c r="Z58" s="208"/>
    </row>
    <row r="59" ht="12.0" customHeight="1">
      <c r="M59" s="208"/>
      <c r="N59" s="208"/>
      <c r="O59" s="208"/>
      <c r="P59" s="208"/>
      <c r="Q59" s="208"/>
      <c r="R59" s="208"/>
      <c r="S59" s="208"/>
      <c r="T59" s="208"/>
      <c r="U59" s="208"/>
      <c r="V59" s="208"/>
      <c r="W59" s="208"/>
      <c r="X59" s="208"/>
      <c r="Y59" s="208"/>
      <c r="Z59" s="208"/>
    </row>
    <row r="60" ht="12.0" customHeight="1">
      <c r="M60" s="208"/>
      <c r="N60" s="208"/>
      <c r="O60" s="208"/>
      <c r="P60" s="208"/>
      <c r="Q60" s="208"/>
      <c r="R60" s="208"/>
      <c r="S60" s="208"/>
      <c r="T60" s="208"/>
      <c r="U60" s="208"/>
      <c r="V60" s="208"/>
      <c r="W60" s="208"/>
      <c r="X60" s="208"/>
      <c r="Y60" s="208"/>
      <c r="Z60" s="208"/>
    </row>
    <row r="61" ht="12.0" customHeight="1">
      <c r="M61" s="208"/>
      <c r="N61" s="208"/>
      <c r="O61" s="208"/>
      <c r="P61" s="208"/>
      <c r="Q61" s="208"/>
      <c r="R61" s="208"/>
      <c r="S61" s="208"/>
      <c r="T61" s="208"/>
      <c r="U61" s="208"/>
      <c r="V61" s="208"/>
      <c r="W61" s="208"/>
      <c r="X61" s="208"/>
      <c r="Y61" s="208"/>
      <c r="Z61" s="208"/>
    </row>
    <row r="62" ht="12.0" customHeight="1">
      <c r="M62" s="208"/>
      <c r="N62" s="208"/>
      <c r="O62" s="208"/>
      <c r="P62" s="208"/>
      <c r="Q62" s="208"/>
      <c r="R62" s="208"/>
      <c r="S62" s="208"/>
      <c r="T62" s="208"/>
      <c r="U62" s="208"/>
      <c r="V62" s="208"/>
      <c r="W62" s="208"/>
      <c r="X62" s="208"/>
      <c r="Y62" s="208"/>
      <c r="Z62" s="208"/>
    </row>
    <row r="63" ht="12.0" customHeight="1">
      <c r="M63" s="208"/>
      <c r="N63" s="208"/>
      <c r="O63" s="208"/>
      <c r="P63" s="208"/>
      <c r="Q63" s="208"/>
      <c r="R63" s="208"/>
      <c r="S63" s="208"/>
      <c r="T63" s="208"/>
      <c r="U63" s="208"/>
      <c r="V63" s="208"/>
      <c r="W63" s="208"/>
      <c r="X63" s="208"/>
      <c r="Y63" s="208"/>
      <c r="Z63" s="208"/>
    </row>
    <row r="64" ht="12.0" customHeight="1">
      <c r="M64" s="208"/>
      <c r="N64" s="208"/>
      <c r="O64" s="208"/>
      <c r="P64" s="208"/>
      <c r="Q64" s="208"/>
      <c r="R64" s="208"/>
      <c r="S64" s="208"/>
      <c r="T64" s="208"/>
      <c r="U64" s="208"/>
      <c r="V64" s="208"/>
      <c r="W64" s="208"/>
      <c r="X64" s="208"/>
      <c r="Y64" s="208"/>
      <c r="Z64" s="208"/>
    </row>
    <row r="65" ht="12.0" customHeight="1">
      <c r="M65" s="208"/>
      <c r="N65" s="208"/>
      <c r="O65" s="208"/>
      <c r="P65" s="208"/>
      <c r="Q65" s="208"/>
      <c r="R65" s="208"/>
      <c r="S65" s="208"/>
      <c r="T65" s="208"/>
      <c r="U65" s="208"/>
      <c r="V65" s="208"/>
      <c r="W65" s="208"/>
      <c r="X65" s="208"/>
      <c r="Y65" s="208"/>
      <c r="Z65" s="208"/>
    </row>
    <row r="66" ht="12.0" customHeight="1">
      <c r="M66" s="208"/>
      <c r="N66" s="208"/>
      <c r="O66" s="208"/>
      <c r="P66" s="208"/>
      <c r="Q66" s="208"/>
      <c r="R66" s="208"/>
      <c r="S66" s="208"/>
      <c r="T66" s="208"/>
      <c r="U66" s="208"/>
      <c r="V66" s="208"/>
      <c r="W66" s="208"/>
      <c r="X66" s="208"/>
      <c r="Y66" s="208"/>
      <c r="Z66" s="208"/>
    </row>
    <row r="67" ht="12.0" customHeight="1">
      <c r="M67" s="208"/>
      <c r="N67" s="208"/>
      <c r="O67" s="208"/>
      <c r="P67" s="208"/>
      <c r="Q67" s="208"/>
      <c r="R67" s="208"/>
      <c r="S67" s="208"/>
      <c r="T67" s="208"/>
      <c r="U67" s="208"/>
      <c r="V67" s="208"/>
      <c r="W67" s="208"/>
      <c r="X67" s="208"/>
      <c r="Y67" s="208"/>
      <c r="Z67" s="208"/>
    </row>
    <row r="68" ht="12.0" customHeight="1">
      <c r="M68" s="208"/>
      <c r="N68" s="208"/>
      <c r="O68" s="208"/>
      <c r="P68" s="208"/>
      <c r="Q68" s="208"/>
      <c r="R68" s="208"/>
      <c r="S68" s="208"/>
      <c r="T68" s="208"/>
      <c r="U68" s="208"/>
      <c r="V68" s="208"/>
      <c r="W68" s="208"/>
      <c r="X68" s="208"/>
      <c r="Y68" s="208"/>
      <c r="Z68" s="208"/>
    </row>
    <row r="69" ht="12.0" customHeight="1">
      <c r="M69" s="208"/>
      <c r="N69" s="208"/>
      <c r="O69" s="208"/>
      <c r="P69" s="208"/>
      <c r="Q69" s="208"/>
      <c r="R69" s="208"/>
      <c r="S69" s="208"/>
      <c r="T69" s="208"/>
      <c r="U69" s="208"/>
      <c r="V69" s="208"/>
      <c r="W69" s="208"/>
      <c r="X69" s="208"/>
      <c r="Y69" s="208"/>
      <c r="Z69" s="208"/>
    </row>
    <row r="70" ht="12.0" customHeight="1">
      <c r="M70" s="208"/>
      <c r="N70" s="208"/>
      <c r="O70" s="208"/>
      <c r="P70" s="208"/>
      <c r="Q70" s="208"/>
      <c r="R70" s="208"/>
      <c r="S70" s="208"/>
      <c r="T70" s="208"/>
      <c r="U70" s="208"/>
      <c r="V70" s="208"/>
      <c r="W70" s="208"/>
      <c r="X70" s="208"/>
      <c r="Y70" s="208"/>
      <c r="Z70" s="208"/>
    </row>
    <row r="71" ht="12.0" customHeight="1">
      <c r="M71" s="208"/>
      <c r="N71" s="208"/>
      <c r="O71" s="208"/>
      <c r="P71" s="208"/>
      <c r="Q71" s="208"/>
      <c r="R71" s="208"/>
      <c r="S71" s="208"/>
      <c r="T71" s="208"/>
      <c r="U71" s="208"/>
      <c r="V71" s="208"/>
      <c r="W71" s="208"/>
      <c r="X71" s="208"/>
      <c r="Y71" s="208"/>
      <c r="Z71" s="208"/>
    </row>
    <row r="72" ht="12.0" customHeight="1">
      <c r="M72" s="208"/>
      <c r="N72" s="208"/>
      <c r="O72" s="208"/>
      <c r="P72" s="208"/>
      <c r="Q72" s="208"/>
      <c r="R72" s="208"/>
      <c r="S72" s="208"/>
      <c r="T72" s="208"/>
      <c r="U72" s="208"/>
      <c r="V72" s="208"/>
      <c r="W72" s="208"/>
      <c r="X72" s="208"/>
      <c r="Y72" s="208"/>
      <c r="Z72" s="208"/>
    </row>
    <row r="73" ht="12.0" customHeight="1">
      <c r="M73" s="208"/>
      <c r="N73" s="208"/>
      <c r="O73" s="208"/>
      <c r="P73" s="208"/>
      <c r="Q73" s="208"/>
      <c r="R73" s="208"/>
      <c r="S73" s="208"/>
      <c r="T73" s="208"/>
      <c r="U73" s="208"/>
      <c r="V73" s="208"/>
      <c r="W73" s="208"/>
      <c r="X73" s="208"/>
      <c r="Y73" s="208"/>
      <c r="Z73" s="208"/>
    </row>
    <row r="74" ht="12.0" customHeight="1">
      <c r="M74" s="208"/>
      <c r="N74" s="208"/>
      <c r="O74" s="208"/>
      <c r="P74" s="208"/>
      <c r="Q74" s="208"/>
      <c r="R74" s="208"/>
      <c r="S74" s="208"/>
      <c r="T74" s="208"/>
      <c r="U74" s="208"/>
      <c r="V74" s="208"/>
      <c r="W74" s="208"/>
      <c r="X74" s="208"/>
      <c r="Y74" s="208"/>
      <c r="Z74" s="208"/>
    </row>
    <row r="75" ht="12.0" customHeight="1">
      <c r="M75" s="208"/>
      <c r="N75" s="208"/>
      <c r="O75" s="208"/>
      <c r="P75" s="208"/>
      <c r="Q75" s="208"/>
      <c r="R75" s="208"/>
      <c r="S75" s="208"/>
      <c r="T75" s="208"/>
      <c r="U75" s="208"/>
      <c r="V75" s="208"/>
      <c r="W75" s="208"/>
      <c r="X75" s="208"/>
      <c r="Y75" s="208"/>
      <c r="Z75" s="208"/>
    </row>
    <row r="76" ht="12.0" customHeight="1">
      <c r="M76" s="208"/>
      <c r="N76" s="208"/>
      <c r="O76" s="208"/>
      <c r="P76" s="208"/>
      <c r="Q76" s="208"/>
      <c r="R76" s="208"/>
      <c r="S76" s="208"/>
      <c r="T76" s="208"/>
      <c r="U76" s="208"/>
      <c r="V76" s="208"/>
      <c r="W76" s="208"/>
      <c r="X76" s="208"/>
      <c r="Y76" s="208"/>
      <c r="Z76" s="208"/>
    </row>
    <row r="77" ht="12.0" customHeight="1">
      <c r="M77" s="208"/>
      <c r="N77" s="208"/>
      <c r="O77" s="208"/>
      <c r="P77" s="208"/>
      <c r="Q77" s="208"/>
      <c r="R77" s="208"/>
      <c r="S77" s="208"/>
      <c r="T77" s="208"/>
      <c r="U77" s="208"/>
      <c r="V77" s="208"/>
      <c r="W77" s="208"/>
      <c r="X77" s="208"/>
      <c r="Y77" s="208"/>
      <c r="Z77" s="208"/>
    </row>
    <row r="78" ht="12.0" customHeight="1">
      <c r="M78" s="208"/>
      <c r="N78" s="208"/>
      <c r="O78" s="208"/>
      <c r="P78" s="208"/>
      <c r="Q78" s="208"/>
      <c r="R78" s="208"/>
      <c r="S78" s="208"/>
      <c r="T78" s="208"/>
      <c r="U78" s="208"/>
      <c r="V78" s="208"/>
      <c r="W78" s="208"/>
      <c r="X78" s="208"/>
      <c r="Y78" s="208"/>
      <c r="Z78" s="208"/>
    </row>
    <row r="79" ht="12.0" customHeight="1">
      <c r="M79" s="208"/>
      <c r="N79" s="208"/>
      <c r="O79" s="208"/>
      <c r="P79" s="208"/>
      <c r="Q79" s="208"/>
      <c r="R79" s="208"/>
      <c r="S79" s="208"/>
      <c r="T79" s="208"/>
      <c r="U79" s="208"/>
      <c r="V79" s="208"/>
      <c r="W79" s="208"/>
      <c r="X79" s="208"/>
      <c r="Y79" s="208"/>
      <c r="Z79" s="208"/>
    </row>
    <row r="80" ht="12.0" customHeight="1">
      <c r="M80" s="208"/>
      <c r="N80" s="208"/>
      <c r="O80" s="208"/>
      <c r="P80" s="208"/>
      <c r="Q80" s="208"/>
      <c r="R80" s="208"/>
      <c r="S80" s="208"/>
      <c r="T80" s="208"/>
      <c r="U80" s="208"/>
      <c r="V80" s="208"/>
      <c r="W80" s="208"/>
      <c r="X80" s="208"/>
      <c r="Y80" s="208"/>
      <c r="Z80" s="208"/>
    </row>
    <row r="81" ht="12.0" customHeight="1">
      <c r="M81" s="208"/>
      <c r="N81" s="208"/>
      <c r="O81" s="208"/>
      <c r="P81" s="208"/>
      <c r="Q81" s="208"/>
      <c r="R81" s="208"/>
      <c r="S81" s="208"/>
      <c r="T81" s="208"/>
      <c r="U81" s="208"/>
      <c r="V81" s="208"/>
      <c r="W81" s="208"/>
      <c r="X81" s="208"/>
      <c r="Y81" s="208"/>
      <c r="Z81" s="208"/>
    </row>
    <row r="82" ht="12.0" customHeight="1">
      <c r="M82" s="208"/>
      <c r="N82" s="208"/>
      <c r="O82" s="208"/>
      <c r="P82" s="208"/>
      <c r="Q82" s="208"/>
      <c r="R82" s="208"/>
      <c r="S82" s="208"/>
      <c r="T82" s="208"/>
      <c r="U82" s="208"/>
      <c r="V82" s="208"/>
      <c r="W82" s="208"/>
      <c r="X82" s="208"/>
      <c r="Y82" s="208"/>
      <c r="Z82" s="208"/>
    </row>
    <row r="83" ht="12.0" customHeight="1">
      <c r="M83" s="208"/>
      <c r="N83" s="208"/>
      <c r="O83" s="208"/>
      <c r="P83" s="208"/>
      <c r="Q83" s="208"/>
      <c r="R83" s="208"/>
      <c r="S83" s="208"/>
      <c r="T83" s="208"/>
      <c r="U83" s="208"/>
      <c r="V83" s="208"/>
      <c r="W83" s="208"/>
      <c r="X83" s="208"/>
      <c r="Y83" s="208"/>
      <c r="Z83" s="208"/>
    </row>
    <row r="84" ht="12.0" customHeight="1">
      <c r="M84" s="208"/>
      <c r="N84" s="208"/>
      <c r="O84" s="208"/>
      <c r="P84" s="208"/>
      <c r="Q84" s="208"/>
      <c r="R84" s="208"/>
      <c r="S84" s="208"/>
      <c r="T84" s="208"/>
      <c r="U84" s="208"/>
      <c r="V84" s="208"/>
      <c r="W84" s="208"/>
      <c r="X84" s="208"/>
      <c r="Y84" s="208"/>
      <c r="Z84" s="208"/>
    </row>
    <row r="85" ht="12.0" customHeight="1">
      <c r="M85" s="208"/>
      <c r="N85" s="208"/>
      <c r="O85" s="208"/>
      <c r="P85" s="208"/>
      <c r="Q85" s="208"/>
      <c r="R85" s="208"/>
      <c r="S85" s="208"/>
      <c r="T85" s="208"/>
      <c r="U85" s="208"/>
      <c r="V85" s="208"/>
      <c r="W85" s="208"/>
      <c r="X85" s="208"/>
      <c r="Y85" s="208"/>
      <c r="Z85" s="208"/>
    </row>
    <row r="86" ht="12.0" customHeight="1">
      <c r="M86" s="208"/>
      <c r="N86" s="208"/>
      <c r="O86" s="208"/>
      <c r="P86" s="208"/>
      <c r="Q86" s="208"/>
      <c r="R86" s="208"/>
      <c r="S86" s="208"/>
      <c r="T86" s="208"/>
      <c r="U86" s="208"/>
      <c r="V86" s="208"/>
      <c r="W86" s="208"/>
      <c r="X86" s="208"/>
      <c r="Y86" s="208"/>
      <c r="Z86" s="208"/>
    </row>
    <row r="87" ht="12.0" customHeight="1">
      <c r="M87" s="208"/>
      <c r="N87" s="208"/>
      <c r="O87" s="208"/>
      <c r="P87" s="208"/>
      <c r="Q87" s="208"/>
      <c r="R87" s="208"/>
      <c r="S87" s="208"/>
      <c r="T87" s="208"/>
      <c r="U87" s="208"/>
      <c r="V87" s="208"/>
      <c r="W87" s="208"/>
      <c r="X87" s="208"/>
      <c r="Y87" s="208"/>
      <c r="Z87" s="208"/>
    </row>
    <row r="88" ht="12.0" customHeight="1">
      <c r="M88" s="208"/>
      <c r="N88" s="208"/>
      <c r="O88" s="208"/>
      <c r="P88" s="208"/>
      <c r="Q88" s="208"/>
      <c r="R88" s="208"/>
      <c r="S88" s="208"/>
      <c r="T88" s="208"/>
      <c r="U88" s="208"/>
      <c r="V88" s="208"/>
      <c r="W88" s="208"/>
      <c r="X88" s="208"/>
      <c r="Y88" s="208"/>
      <c r="Z88" s="208"/>
    </row>
    <row r="89" ht="12.0" customHeight="1">
      <c r="M89" s="208"/>
      <c r="N89" s="208"/>
      <c r="O89" s="208"/>
      <c r="P89" s="208"/>
      <c r="Q89" s="208"/>
      <c r="R89" s="208"/>
      <c r="S89" s="208"/>
      <c r="T89" s="208"/>
      <c r="U89" s="208"/>
      <c r="V89" s="208"/>
      <c r="W89" s="208"/>
      <c r="X89" s="208"/>
      <c r="Y89" s="208"/>
      <c r="Z89" s="208"/>
    </row>
    <row r="90" ht="12.0" customHeight="1">
      <c r="M90" s="208"/>
      <c r="N90" s="208"/>
      <c r="O90" s="208"/>
      <c r="P90" s="208"/>
      <c r="Q90" s="208"/>
      <c r="R90" s="208"/>
      <c r="S90" s="208"/>
      <c r="T90" s="208"/>
      <c r="U90" s="208"/>
      <c r="V90" s="208"/>
      <c r="W90" s="208"/>
      <c r="X90" s="208"/>
      <c r="Y90" s="208"/>
      <c r="Z90" s="208"/>
    </row>
    <row r="91" ht="12.0" customHeight="1">
      <c r="M91" s="208"/>
      <c r="N91" s="208"/>
      <c r="O91" s="208"/>
      <c r="P91" s="208"/>
      <c r="Q91" s="208"/>
      <c r="R91" s="208"/>
      <c r="S91" s="208"/>
      <c r="T91" s="208"/>
      <c r="U91" s="208"/>
      <c r="V91" s="208"/>
      <c r="W91" s="208"/>
      <c r="X91" s="208"/>
      <c r="Y91" s="208"/>
      <c r="Z91" s="208"/>
    </row>
    <row r="92" ht="12.0" customHeight="1">
      <c r="M92" s="208"/>
      <c r="N92" s="208"/>
      <c r="O92" s="208"/>
      <c r="P92" s="208"/>
      <c r="Q92" s="208"/>
      <c r="R92" s="208"/>
      <c r="S92" s="208"/>
      <c r="T92" s="208"/>
      <c r="U92" s="208"/>
      <c r="V92" s="208"/>
      <c r="W92" s="208"/>
      <c r="X92" s="208"/>
      <c r="Y92" s="208"/>
      <c r="Z92" s="208"/>
    </row>
    <row r="93" ht="12.0" customHeight="1">
      <c r="M93" s="208"/>
      <c r="N93" s="208"/>
      <c r="O93" s="208"/>
      <c r="P93" s="208"/>
      <c r="Q93" s="208"/>
      <c r="R93" s="208"/>
      <c r="S93" s="208"/>
      <c r="T93" s="208"/>
      <c r="U93" s="208"/>
      <c r="V93" s="208"/>
      <c r="W93" s="208"/>
      <c r="X93" s="208"/>
      <c r="Y93" s="208"/>
      <c r="Z93" s="208"/>
    </row>
    <row r="94" ht="12.0" customHeight="1">
      <c r="M94" s="208"/>
      <c r="N94" s="208"/>
      <c r="O94" s="208"/>
      <c r="P94" s="208"/>
      <c r="Q94" s="208"/>
      <c r="R94" s="208"/>
      <c r="S94" s="208"/>
      <c r="T94" s="208"/>
      <c r="U94" s="208"/>
      <c r="V94" s="208"/>
      <c r="W94" s="208"/>
      <c r="X94" s="208"/>
      <c r="Y94" s="208"/>
      <c r="Z94" s="208"/>
    </row>
    <row r="95" ht="12.0" customHeight="1">
      <c r="M95" s="208"/>
      <c r="N95" s="208"/>
      <c r="O95" s="208"/>
      <c r="P95" s="208"/>
      <c r="Q95" s="208"/>
      <c r="R95" s="208"/>
      <c r="S95" s="208"/>
      <c r="T95" s="208"/>
      <c r="U95" s="208"/>
      <c r="V95" s="208"/>
      <c r="W95" s="208"/>
      <c r="X95" s="208"/>
      <c r="Y95" s="208"/>
      <c r="Z95" s="208"/>
    </row>
    <row r="96" ht="12.0" customHeight="1">
      <c r="M96" s="208"/>
      <c r="N96" s="208"/>
      <c r="O96" s="208"/>
      <c r="P96" s="208"/>
      <c r="Q96" s="208"/>
      <c r="R96" s="208"/>
      <c r="S96" s="208"/>
      <c r="T96" s="208"/>
      <c r="U96" s="208"/>
      <c r="V96" s="208"/>
      <c r="W96" s="208"/>
      <c r="X96" s="208"/>
      <c r="Y96" s="208"/>
      <c r="Z96" s="208"/>
    </row>
    <row r="97" ht="12.0" customHeight="1">
      <c r="M97" s="208"/>
      <c r="N97" s="208"/>
      <c r="O97" s="208"/>
      <c r="P97" s="208"/>
      <c r="Q97" s="208"/>
      <c r="R97" s="208"/>
      <c r="S97" s="208"/>
      <c r="T97" s="208"/>
      <c r="U97" s="208"/>
      <c r="V97" s="208"/>
      <c r="W97" s="208"/>
      <c r="X97" s="208"/>
      <c r="Y97" s="208"/>
      <c r="Z97" s="208"/>
    </row>
    <row r="98" ht="12.0" customHeight="1">
      <c r="M98" s="208"/>
      <c r="N98" s="208"/>
      <c r="O98" s="208"/>
      <c r="P98" s="208"/>
      <c r="Q98" s="208"/>
      <c r="R98" s="208"/>
      <c r="S98" s="208"/>
      <c r="T98" s="208"/>
      <c r="U98" s="208"/>
      <c r="V98" s="208"/>
      <c r="W98" s="208"/>
      <c r="X98" s="208"/>
      <c r="Y98" s="208"/>
      <c r="Z98" s="208"/>
    </row>
    <row r="99" ht="12.0" customHeight="1">
      <c r="M99" s="208"/>
      <c r="N99" s="208"/>
      <c r="O99" s="208"/>
      <c r="P99" s="208"/>
      <c r="Q99" s="208"/>
      <c r="R99" s="208"/>
      <c r="S99" s="208"/>
      <c r="T99" s="208"/>
      <c r="U99" s="208"/>
      <c r="V99" s="208"/>
      <c r="W99" s="208"/>
      <c r="X99" s="208"/>
      <c r="Y99" s="208"/>
      <c r="Z99" s="208"/>
    </row>
    <row r="100" ht="12.0" customHeight="1">
      <c r="M100" s="208"/>
      <c r="N100" s="208"/>
      <c r="O100" s="208"/>
      <c r="P100" s="208"/>
      <c r="Q100" s="208"/>
      <c r="R100" s="208"/>
      <c r="S100" s="208"/>
      <c r="T100" s="208"/>
      <c r="U100" s="208"/>
      <c r="V100" s="208"/>
      <c r="W100" s="208"/>
      <c r="X100" s="208"/>
      <c r="Y100" s="208"/>
      <c r="Z100" s="208"/>
    </row>
    <row r="101" ht="12.0" customHeight="1">
      <c r="M101" s="208"/>
      <c r="N101" s="208"/>
      <c r="O101" s="208"/>
      <c r="P101" s="208"/>
      <c r="Q101" s="208"/>
      <c r="R101" s="208"/>
      <c r="S101" s="208"/>
      <c r="T101" s="208"/>
      <c r="U101" s="208"/>
      <c r="V101" s="208"/>
      <c r="W101" s="208"/>
      <c r="X101" s="208"/>
      <c r="Y101" s="208"/>
      <c r="Z101" s="208"/>
    </row>
    <row r="102" ht="12.0" customHeight="1">
      <c r="M102" s="208"/>
      <c r="N102" s="208"/>
      <c r="O102" s="208"/>
      <c r="P102" s="208"/>
      <c r="Q102" s="208"/>
      <c r="R102" s="208"/>
      <c r="S102" s="208"/>
      <c r="T102" s="208"/>
      <c r="U102" s="208"/>
      <c r="V102" s="208"/>
      <c r="W102" s="208"/>
      <c r="X102" s="208"/>
      <c r="Y102" s="208"/>
      <c r="Z102" s="208"/>
    </row>
    <row r="103" ht="12.0" customHeight="1">
      <c r="M103" s="208"/>
      <c r="N103" s="208"/>
      <c r="O103" s="208"/>
      <c r="P103" s="208"/>
      <c r="Q103" s="208"/>
      <c r="R103" s="208"/>
      <c r="S103" s="208"/>
      <c r="T103" s="208"/>
      <c r="U103" s="208"/>
      <c r="V103" s="208"/>
      <c r="W103" s="208"/>
      <c r="X103" s="208"/>
      <c r="Y103" s="208"/>
      <c r="Z103" s="208"/>
    </row>
    <row r="104" ht="12.0" customHeight="1">
      <c r="M104" s="208"/>
      <c r="N104" s="208"/>
      <c r="O104" s="208"/>
      <c r="P104" s="208"/>
      <c r="Q104" s="208"/>
      <c r="R104" s="208"/>
      <c r="S104" s="208"/>
      <c r="T104" s="208"/>
      <c r="U104" s="208"/>
      <c r="V104" s="208"/>
      <c r="W104" s="208"/>
      <c r="X104" s="208"/>
      <c r="Y104" s="208"/>
      <c r="Z104" s="208"/>
    </row>
    <row r="105" ht="12.0" customHeight="1">
      <c r="M105" s="208"/>
      <c r="N105" s="208"/>
      <c r="O105" s="208"/>
      <c r="P105" s="208"/>
      <c r="Q105" s="208"/>
      <c r="R105" s="208"/>
      <c r="S105" s="208"/>
      <c r="T105" s="208"/>
      <c r="U105" s="208"/>
      <c r="V105" s="208"/>
      <c r="W105" s="208"/>
      <c r="X105" s="208"/>
      <c r="Y105" s="208"/>
      <c r="Z105" s="208"/>
    </row>
    <row r="106" ht="12.0" customHeight="1">
      <c r="M106" s="208"/>
      <c r="N106" s="208"/>
      <c r="O106" s="208"/>
      <c r="P106" s="208"/>
      <c r="Q106" s="208"/>
      <c r="R106" s="208"/>
      <c r="S106" s="208"/>
      <c r="T106" s="208"/>
      <c r="U106" s="208"/>
      <c r="V106" s="208"/>
      <c r="W106" s="208"/>
      <c r="X106" s="208"/>
      <c r="Y106" s="208"/>
      <c r="Z106" s="208"/>
    </row>
    <row r="107" ht="12.0" customHeight="1">
      <c r="M107" s="208"/>
      <c r="N107" s="208"/>
      <c r="O107" s="208"/>
      <c r="P107" s="208"/>
      <c r="Q107" s="208"/>
      <c r="R107" s="208"/>
      <c r="S107" s="208"/>
      <c r="T107" s="208"/>
      <c r="U107" s="208"/>
      <c r="V107" s="208"/>
      <c r="W107" s="208"/>
      <c r="X107" s="208"/>
      <c r="Y107" s="208"/>
      <c r="Z107" s="208"/>
    </row>
    <row r="108" ht="12.0" customHeight="1">
      <c r="M108" s="208"/>
      <c r="N108" s="208"/>
      <c r="O108" s="208"/>
      <c r="P108" s="208"/>
      <c r="Q108" s="208"/>
      <c r="R108" s="208"/>
      <c r="S108" s="208"/>
      <c r="T108" s="208"/>
      <c r="U108" s="208"/>
      <c r="V108" s="208"/>
      <c r="W108" s="208"/>
      <c r="X108" s="208"/>
      <c r="Y108" s="208"/>
      <c r="Z108" s="208"/>
    </row>
    <row r="109" ht="12.0" customHeight="1">
      <c r="M109" s="208"/>
      <c r="N109" s="208"/>
      <c r="O109" s="208"/>
      <c r="P109" s="208"/>
      <c r="Q109" s="208"/>
      <c r="R109" s="208"/>
      <c r="S109" s="208"/>
      <c r="T109" s="208"/>
      <c r="U109" s="208"/>
      <c r="V109" s="208"/>
      <c r="W109" s="208"/>
      <c r="X109" s="208"/>
      <c r="Y109" s="208"/>
      <c r="Z109" s="208"/>
    </row>
    <row r="110" ht="12.0" customHeight="1">
      <c r="M110" s="208"/>
      <c r="N110" s="208"/>
      <c r="O110" s="208"/>
      <c r="P110" s="208"/>
      <c r="Q110" s="208"/>
      <c r="R110" s="208"/>
      <c r="S110" s="208"/>
      <c r="T110" s="208"/>
      <c r="U110" s="208"/>
      <c r="V110" s="208"/>
      <c r="W110" s="208"/>
      <c r="X110" s="208"/>
      <c r="Y110" s="208"/>
      <c r="Z110" s="208"/>
    </row>
    <row r="111" ht="12.0" customHeight="1">
      <c r="M111" s="208"/>
      <c r="N111" s="208"/>
      <c r="O111" s="208"/>
      <c r="P111" s="208"/>
      <c r="Q111" s="208"/>
      <c r="R111" s="208"/>
      <c r="S111" s="208"/>
      <c r="T111" s="208"/>
      <c r="U111" s="208"/>
      <c r="V111" s="208"/>
      <c r="W111" s="208"/>
      <c r="X111" s="208"/>
      <c r="Y111" s="208"/>
      <c r="Z111" s="208"/>
    </row>
    <row r="112" ht="12.0" customHeight="1">
      <c r="M112" s="208"/>
      <c r="N112" s="208"/>
      <c r="O112" s="208"/>
      <c r="P112" s="208"/>
      <c r="Q112" s="208"/>
      <c r="R112" s="208"/>
      <c r="S112" s="208"/>
      <c r="T112" s="208"/>
      <c r="U112" s="208"/>
      <c r="V112" s="208"/>
      <c r="W112" s="208"/>
      <c r="X112" s="208"/>
      <c r="Y112" s="208"/>
      <c r="Z112" s="208"/>
    </row>
    <row r="113" ht="12.0" customHeight="1">
      <c r="M113" s="208"/>
      <c r="N113" s="208"/>
      <c r="O113" s="208"/>
      <c r="P113" s="208"/>
      <c r="Q113" s="208"/>
      <c r="R113" s="208"/>
      <c r="S113" s="208"/>
      <c r="T113" s="208"/>
      <c r="U113" s="208"/>
      <c r="V113" s="208"/>
      <c r="W113" s="208"/>
      <c r="X113" s="208"/>
      <c r="Y113" s="208"/>
      <c r="Z113" s="208"/>
    </row>
    <row r="114" ht="12.0" customHeight="1">
      <c r="M114" s="208"/>
      <c r="N114" s="208"/>
      <c r="O114" s="208"/>
      <c r="P114" s="208"/>
      <c r="Q114" s="208"/>
      <c r="R114" s="208"/>
      <c r="S114" s="208"/>
      <c r="T114" s="208"/>
      <c r="U114" s="208"/>
      <c r="V114" s="208"/>
      <c r="W114" s="208"/>
      <c r="X114" s="208"/>
      <c r="Y114" s="208"/>
      <c r="Z114" s="208"/>
    </row>
    <row r="115" ht="12.0" customHeight="1">
      <c r="M115" s="208"/>
      <c r="N115" s="208"/>
      <c r="O115" s="208"/>
      <c r="P115" s="208"/>
      <c r="Q115" s="208"/>
      <c r="R115" s="208"/>
      <c r="S115" s="208"/>
      <c r="T115" s="208"/>
      <c r="U115" s="208"/>
      <c r="V115" s="208"/>
      <c r="W115" s="208"/>
      <c r="X115" s="208"/>
      <c r="Y115" s="208"/>
      <c r="Z115" s="208"/>
    </row>
    <row r="116" ht="12.0" customHeight="1">
      <c r="M116" s="208"/>
      <c r="N116" s="208"/>
      <c r="O116" s="208"/>
      <c r="P116" s="208"/>
      <c r="Q116" s="208"/>
      <c r="R116" s="208"/>
      <c r="S116" s="208"/>
      <c r="T116" s="208"/>
      <c r="U116" s="208"/>
      <c r="V116" s="208"/>
      <c r="W116" s="208"/>
      <c r="X116" s="208"/>
      <c r="Y116" s="208"/>
      <c r="Z116" s="208"/>
    </row>
    <row r="117" ht="12.0" customHeight="1">
      <c r="M117" s="208"/>
      <c r="N117" s="208"/>
      <c r="O117" s="208"/>
      <c r="P117" s="208"/>
      <c r="Q117" s="208"/>
      <c r="R117" s="208"/>
      <c r="S117" s="208"/>
      <c r="T117" s="208"/>
      <c r="U117" s="208"/>
      <c r="V117" s="208"/>
      <c r="W117" s="208"/>
      <c r="X117" s="208"/>
      <c r="Y117" s="208"/>
      <c r="Z117" s="208"/>
    </row>
    <row r="118" ht="12.0" customHeight="1">
      <c r="M118" s="208"/>
      <c r="N118" s="208"/>
      <c r="O118" s="208"/>
      <c r="P118" s="208"/>
      <c r="Q118" s="208"/>
      <c r="R118" s="208"/>
      <c r="S118" s="208"/>
      <c r="T118" s="208"/>
      <c r="U118" s="208"/>
      <c r="V118" s="208"/>
      <c r="W118" s="208"/>
      <c r="X118" s="208"/>
      <c r="Y118" s="208"/>
      <c r="Z118" s="208"/>
    </row>
    <row r="119" ht="12.0" customHeight="1">
      <c r="M119" s="208"/>
      <c r="N119" s="208"/>
      <c r="O119" s="208"/>
      <c r="P119" s="208"/>
      <c r="Q119" s="208"/>
      <c r="R119" s="208"/>
      <c r="S119" s="208"/>
      <c r="T119" s="208"/>
      <c r="U119" s="208"/>
      <c r="V119" s="208"/>
      <c r="W119" s="208"/>
      <c r="X119" s="208"/>
      <c r="Y119" s="208"/>
      <c r="Z119" s="208"/>
    </row>
    <row r="120" ht="12.0" customHeight="1">
      <c r="M120" s="208"/>
      <c r="N120" s="208"/>
      <c r="O120" s="208"/>
      <c r="P120" s="208"/>
      <c r="Q120" s="208"/>
      <c r="R120" s="208"/>
      <c r="S120" s="208"/>
      <c r="T120" s="208"/>
      <c r="U120" s="208"/>
      <c r="V120" s="208"/>
      <c r="W120" s="208"/>
      <c r="X120" s="208"/>
      <c r="Y120" s="208"/>
      <c r="Z120" s="208"/>
    </row>
    <row r="121" ht="12.0" customHeight="1">
      <c r="M121" s="208"/>
      <c r="N121" s="208"/>
      <c r="O121" s="208"/>
      <c r="P121" s="208"/>
      <c r="Q121" s="208"/>
      <c r="R121" s="208"/>
      <c r="S121" s="208"/>
      <c r="T121" s="208"/>
      <c r="U121" s="208"/>
      <c r="V121" s="208"/>
      <c r="W121" s="208"/>
      <c r="X121" s="208"/>
      <c r="Y121" s="208"/>
      <c r="Z121" s="208"/>
    </row>
    <row r="122" ht="12.0" customHeight="1">
      <c r="M122" s="208"/>
      <c r="N122" s="208"/>
      <c r="O122" s="208"/>
      <c r="P122" s="208"/>
      <c r="Q122" s="208"/>
      <c r="R122" s="208"/>
      <c r="S122" s="208"/>
      <c r="T122" s="208"/>
      <c r="U122" s="208"/>
      <c r="V122" s="208"/>
      <c r="W122" s="208"/>
      <c r="X122" s="208"/>
      <c r="Y122" s="208"/>
      <c r="Z122" s="208"/>
    </row>
    <row r="123" ht="12.0" customHeight="1">
      <c r="M123" s="208"/>
      <c r="N123" s="208"/>
      <c r="O123" s="208"/>
      <c r="P123" s="208"/>
      <c r="Q123" s="208"/>
      <c r="R123" s="208"/>
      <c r="S123" s="208"/>
      <c r="T123" s="208"/>
      <c r="U123" s="208"/>
      <c r="V123" s="208"/>
      <c r="W123" s="208"/>
      <c r="X123" s="208"/>
      <c r="Y123" s="208"/>
      <c r="Z123" s="208"/>
    </row>
    <row r="124" ht="12.0" customHeight="1">
      <c r="M124" s="208"/>
      <c r="N124" s="208"/>
      <c r="O124" s="208"/>
      <c r="P124" s="208"/>
      <c r="Q124" s="208"/>
      <c r="R124" s="208"/>
      <c r="S124" s="208"/>
      <c r="T124" s="208"/>
      <c r="U124" s="208"/>
      <c r="V124" s="208"/>
      <c r="W124" s="208"/>
      <c r="X124" s="208"/>
      <c r="Y124" s="208"/>
      <c r="Z124" s="208"/>
    </row>
    <row r="125" ht="12.0" customHeight="1">
      <c r="M125" s="208"/>
      <c r="N125" s="208"/>
      <c r="O125" s="208"/>
      <c r="P125" s="208"/>
      <c r="Q125" s="208"/>
      <c r="R125" s="208"/>
      <c r="S125" s="208"/>
      <c r="T125" s="208"/>
      <c r="U125" s="208"/>
      <c r="V125" s="208"/>
      <c r="W125" s="208"/>
      <c r="X125" s="208"/>
      <c r="Y125" s="208"/>
      <c r="Z125" s="208"/>
    </row>
    <row r="126" ht="12.0" customHeight="1">
      <c r="M126" s="208"/>
      <c r="N126" s="208"/>
      <c r="O126" s="208"/>
      <c r="P126" s="208"/>
      <c r="Q126" s="208"/>
      <c r="R126" s="208"/>
      <c r="S126" s="208"/>
      <c r="T126" s="208"/>
      <c r="U126" s="208"/>
      <c r="V126" s="208"/>
      <c r="W126" s="208"/>
      <c r="X126" s="208"/>
      <c r="Y126" s="208"/>
      <c r="Z126" s="208"/>
    </row>
    <row r="127" ht="12.0" customHeight="1">
      <c r="M127" s="208"/>
      <c r="N127" s="208"/>
      <c r="O127" s="208"/>
      <c r="P127" s="208"/>
      <c r="Q127" s="208"/>
      <c r="R127" s="208"/>
      <c r="S127" s="208"/>
      <c r="T127" s="208"/>
      <c r="U127" s="208"/>
      <c r="V127" s="208"/>
      <c r="W127" s="208"/>
      <c r="X127" s="208"/>
      <c r="Y127" s="208"/>
      <c r="Z127" s="208"/>
    </row>
    <row r="128" ht="12.0" customHeight="1">
      <c r="M128" s="208"/>
      <c r="N128" s="208"/>
      <c r="O128" s="208"/>
      <c r="P128" s="208"/>
      <c r="Q128" s="208"/>
      <c r="R128" s="208"/>
      <c r="S128" s="208"/>
      <c r="T128" s="208"/>
      <c r="U128" s="208"/>
      <c r="V128" s="208"/>
      <c r="W128" s="208"/>
      <c r="X128" s="208"/>
      <c r="Y128" s="208"/>
      <c r="Z128" s="208"/>
    </row>
    <row r="129" ht="12.0" customHeight="1">
      <c r="M129" s="208"/>
      <c r="N129" s="208"/>
      <c r="O129" s="208"/>
      <c r="P129" s="208"/>
      <c r="Q129" s="208"/>
      <c r="R129" s="208"/>
      <c r="S129" s="208"/>
      <c r="T129" s="208"/>
      <c r="U129" s="208"/>
      <c r="V129" s="208"/>
      <c r="W129" s="208"/>
      <c r="X129" s="208"/>
      <c r="Y129" s="208"/>
      <c r="Z129" s="208"/>
    </row>
    <row r="130" ht="12.0" customHeight="1">
      <c r="M130" s="208"/>
      <c r="N130" s="208"/>
      <c r="O130" s="208"/>
      <c r="P130" s="208"/>
      <c r="Q130" s="208"/>
      <c r="R130" s="208"/>
      <c r="S130" s="208"/>
      <c r="T130" s="208"/>
      <c r="U130" s="208"/>
      <c r="V130" s="208"/>
      <c r="W130" s="208"/>
      <c r="X130" s="208"/>
      <c r="Y130" s="208"/>
      <c r="Z130" s="208"/>
    </row>
    <row r="131" ht="12.0" customHeight="1">
      <c r="M131" s="208"/>
      <c r="N131" s="208"/>
      <c r="O131" s="208"/>
      <c r="P131" s="208"/>
      <c r="Q131" s="208"/>
      <c r="R131" s="208"/>
      <c r="S131" s="208"/>
      <c r="T131" s="208"/>
      <c r="U131" s="208"/>
      <c r="V131" s="208"/>
      <c r="W131" s="208"/>
      <c r="X131" s="208"/>
      <c r="Y131" s="208"/>
      <c r="Z131" s="208"/>
    </row>
    <row r="132" ht="12.0" customHeight="1">
      <c r="M132" s="208"/>
      <c r="N132" s="208"/>
      <c r="O132" s="208"/>
      <c r="P132" s="208"/>
      <c r="Q132" s="208"/>
      <c r="R132" s="208"/>
      <c r="S132" s="208"/>
      <c r="T132" s="208"/>
      <c r="U132" s="208"/>
      <c r="V132" s="208"/>
      <c r="W132" s="208"/>
      <c r="X132" s="208"/>
      <c r="Y132" s="208"/>
      <c r="Z132" s="208"/>
    </row>
    <row r="133" ht="12.0" customHeight="1">
      <c r="M133" s="208"/>
      <c r="N133" s="208"/>
      <c r="O133" s="208"/>
      <c r="P133" s="208"/>
      <c r="Q133" s="208"/>
      <c r="R133" s="208"/>
      <c r="S133" s="208"/>
      <c r="T133" s="208"/>
      <c r="U133" s="208"/>
      <c r="V133" s="208"/>
      <c r="W133" s="208"/>
      <c r="X133" s="208"/>
      <c r="Y133" s="208"/>
      <c r="Z133" s="208"/>
    </row>
    <row r="134" ht="12.0" customHeight="1">
      <c r="M134" s="208"/>
      <c r="N134" s="208"/>
      <c r="O134" s="208"/>
      <c r="P134" s="208"/>
      <c r="Q134" s="208"/>
      <c r="R134" s="208"/>
      <c r="S134" s="208"/>
      <c r="T134" s="208"/>
      <c r="U134" s="208"/>
      <c r="V134" s="208"/>
      <c r="W134" s="208"/>
      <c r="X134" s="208"/>
      <c r="Y134" s="208"/>
      <c r="Z134" s="208"/>
    </row>
    <row r="135" ht="12.0" customHeight="1">
      <c r="M135" s="208"/>
      <c r="N135" s="208"/>
      <c r="O135" s="208"/>
      <c r="P135" s="208"/>
      <c r="Q135" s="208"/>
      <c r="R135" s="208"/>
      <c r="S135" s="208"/>
      <c r="T135" s="208"/>
      <c r="U135" s="208"/>
      <c r="V135" s="208"/>
      <c r="W135" s="208"/>
      <c r="X135" s="208"/>
      <c r="Y135" s="208"/>
      <c r="Z135" s="208"/>
    </row>
    <row r="136" ht="12.0" customHeight="1">
      <c r="M136" s="208"/>
      <c r="N136" s="208"/>
      <c r="O136" s="208"/>
      <c r="P136" s="208"/>
      <c r="Q136" s="208"/>
      <c r="R136" s="208"/>
      <c r="S136" s="208"/>
      <c r="T136" s="208"/>
      <c r="U136" s="208"/>
      <c r="V136" s="208"/>
      <c r="W136" s="208"/>
      <c r="X136" s="208"/>
      <c r="Y136" s="208"/>
      <c r="Z136" s="208"/>
    </row>
    <row r="137" ht="12.0" customHeight="1">
      <c r="M137" s="208"/>
      <c r="N137" s="208"/>
      <c r="O137" s="208"/>
      <c r="P137" s="208"/>
      <c r="Q137" s="208"/>
      <c r="R137" s="208"/>
      <c r="S137" s="208"/>
      <c r="T137" s="208"/>
      <c r="U137" s="208"/>
      <c r="V137" s="208"/>
      <c r="W137" s="208"/>
      <c r="X137" s="208"/>
      <c r="Y137" s="208"/>
      <c r="Z137" s="208"/>
    </row>
    <row r="138" ht="12.0" customHeight="1">
      <c r="M138" s="208"/>
      <c r="N138" s="208"/>
      <c r="O138" s="208"/>
      <c r="P138" s="208"/>
      <c r="Q138" s="208"/>
      <c r="R138" s="208"/>
      <c r="S138" s="208"/>
      <c r="T138" s="208"/>
      <c r="U138" s="208"/>
      <c r="V138" s="208"/>
      <c r="W138" s="208"/>
      <c r="X138" s="208"/>
      <c r="Y138" s="208"/>
      <c r="Z138" s="208"/>
    </row>
    <row r="139" ht="12.0" customHeight="1">
      <c r="M139" s="208"/>
      <c r="N139" s="208"/>
      <c r="O139" s="208"/>
      <c r="P139" s="208"/>
      <c r="Q139" s="208"/>
      <c r="R139" s="208"/>
      <c r="S139" s="208"/>
      <c r="T139" s="208"/>
      <c r="U139" s="208"/>
      <c r="V139" s="208"/>
      <c r="W139" s="208"/>
      <c r="X139" s="208"/>
      <c r="Y139" s="208"/>
      <c r="Z139" s="208"/>
    </row>
    <row r="140" ht="12.0" customHeight="1">
      <c r="M140" s="208"/>
      <c r="N140" s="208"/>
      <c r="O140" s="208"/>
      <c r="P140" s="208"/>
      <c r="Q140" s="208"/>
      <c r="R140" s="208"/>
      <c r="S140" s="208"/>
      <c r="T140" s="208"/>
      <c r="U140" s="208"/>
      <c r="V140" s="208"/>
      <c r="W140" s="208"/>
      <c r="X140" s="208"/>
      <c r="Y140" s="208"/>
      <c r="Z140" s="208"/>
    </row>
    <row r="141" ht="12.0" customHeight="1">
      <c r="M141" s="208"/>
      <c r="N141" s="208"/>
      <c r="O141" s="208"/>
      <c r="P141" s="208"/>
      <c r="Q141" s="208"/>
      <c r="R141" s="208"/>
      <c r="S141" s="208"/>
      <c r="T141" s="208"/>
      <c r="U141" s="208"/>
      <c r="V141" s="208"/>
      <c r="W141" s="208"/>
      <c r="X141" s="208"/>
      <c r="Y141" s="208"/>
      <c r="Z141" s="208"/>
    </row>
    <row r="142" ht="12.0" customHeight="1">
      <c r="M142" s="208"/>
      <c r="N142" s="208"/>
      <c r="O142" s="208"/>
      <c r="P142" s="208"/>
      <c r="Q142" s="208"/>
      <c r="R142" s="208"/>
      <c r="S142" s="208"/>
      <c r="T142" s="208"/>
      <c r="U142" s="208"/>
      <c r="V142" s="208"/>
      <c r="W142" s="208"/>
      <c r="X142" s="208"/>
      <c r="Y142" s="208"/>
      <c r="Z142" s="208"/>
    </row>
    <row r="143" ht="12.0" customHeight="1">
      <c r="M143" s="208"/>
      <c r="N143" s="208"/>
      <c r="O143" s="208"/>
      <c r="P143" s="208"/>
      <c r="Q143" s="208"/>
      <c r="R143" s="208"/>
      <c r="S143" s="208"/>
      <c r="T143" s="208"/>
      <c r="U143" s="208"/>
      <c r="V143" s="208"/>
      <c r="W143" s="208"/>
      <c r="X143" s="208"/>
      <c r="Y143" s="208"/>
      <c r="Z143" s="208"/>
    </row>
    <row r="144" ht="12.0" customHeight="1">
      <c r="M144" s="208"/>
      <c r="N144" s="208"/>
      <c r="O144" s="208"/>
      <c r="P144" s="208"/>
      <c r="Q144" s="208"/>
      <c r="R144" s="208"/>
      <c r="S144" s="208"/>
      <c r="T144" s="208"/>
      <c r="U144" s="208"/>
      <c r="V144" s="208"/>
      <c r="W144" s="208"/>
      <c r="X144" s="208"/>
      <c r="Y144" s="208"/>
      <c r="Z144" s="208"/>
    </row>
    <row r="145" ht="12.0" customHeight="1">
      <c r="M145" s="208"/>
      <c r="N145" s="208"/>
      <c r="O145" s="208"/>
      <c r="P145" s="208"/>
      <c r="Q145" s="208"/>
      <c r="R145" s="208"/>
      <c r="S145" s="208"/>
      <c r="T145" s="208"/>
      <c r="U145" s="208"/>
      <c r="V145" s="208"/>
      <c r="W145" s="208"/>
      <c r="X145" s="208"/>
      <c r="Y145" s="208"/>
      <c r="Z145" s="208"/>
    </row>
    <row r="146" ht="12.0" customHeight="1">
      <c r="M146" s="208"/>
      <c r="N146" s="208"/>
      <c r="O146" s="208"/>
      <c r="P146" s="208"/>
      <c r="Q146" s="208"/>
      <c r="R146" s="208"/>
      <c r="S146" s="208"/>
      <c r="T146" s="208"/>
      <c r="U146" s="208"/>
      <c r="V146" s="208"/>
      <c r="W146" s="208"/>
      <c r="X146" s="208"/>
      <c r="Y146" s="208"/>
      <c r="Z146" s="208"/>
    </row>
    <row r="147" ht="12.0" customHeight="1">
      <c r="M147" s="208"/>
      <c r="N147" s="208"/>
      <c r="O147" s="208"/>
      <c r="P147" s="208"/>
      <c r="Q147" s="208"/>
      <c r="R147" s="208"/>
      <c r="S147" s="208"/>
      <c r="T147" s="208"/>
      <c r="U147" s="208"/>
      <c r="V147" s="208"/>
      <c r="W147" s="208"/>
      <c r="X147" s="208"/>
      <c r="Y147" s="208"/>
      <c r="Z147" s="208"/>
    </row>
    <row r="148" ht="12.0" customHeight="1">
      <c r="M148" s="208"/>
      <c r="N148" s="208"/>
      <c r="O148" s="208"/>
      <c r="P148" s="208"/>
      <c r="Q148" s="208"/>
      <c r="R148" s="208"/>
      <c r="S148" s="208"/>
      <c r="T148" s="208"/>
      <c r="U148" s="208"/>
      <c r="V148" s="208"/>
      <c r="W148" s="208"/>
      <c r="X148" s="208"/>
      <c r="Y148" s="208"/>
      <c r="Z148" s="208"/>
    </row>
    <row r="149" ht="12.0" customHeight="1">
      <c r="M149" s="208"/>
      <c r="N149" s="208"/>
      <c r="O149" s="208"/>
      <c r="P149" s="208"/>
      <c r="Q149" s="208"/>
      <c r="R149" s="208"/>
      <c r="S149" s="208"/>
      <c r="T149" s="208"/>
      <c r="U149" s="208"/>
      <c r="V149" s="208"/>
      <c r="W149" s="208"/>
      <c r="X149" s="208"/>
      <c r="Y149" s="208"/>
      <c r="Z149" s="208"/>
    </row>
    <row r="150" ht="12.0" customHeight="1">
      <c r="M150" s="208"/>
      <c r="N150" s="208"/>
      <c r="O150" s="208"/>
      <c r="P150" s="208"/>
      <c r="Q150" s="208"/>
      <c r="R150" s="208"/>
      <c r="S150" s="208"/>
      <c r="T150" s="208"/>
      <c r="U150" s="208"/>
      <c r="V150" s="208"/>
      <c r="W150" s="208"/>
      <c r="X150" s="208"/>
      <c r="Y150" s="208"/>
      <c r="Z150" s="208"/>
    </row>
    <row r="151" ht="12.0" customHeight="1">
      <c r="M151" s="208"/>
      <c r="N151" s="208"/>
      <c r="O151" s="208"/>
      <c r="P151" s="208"/>
      <c r="Q151" s="208"/>
      <c r="R151" s="208"/>
      <c r="S151" s="208"/>
      <c r="T151" s="208"/>
      <c r="U151" s="208"/>
      <c r="V151" s="208"/>
      <c r="W151" s="208"/>
      <c r="X151" s="208"/>
      <c r="Y151" s="208"/>
      <c r="Z151" s="208"/>
    </row>
    <row r="152" ht="12.0" customHeight="1">
      <c r="M152" s="208"/>
      <c r="N152" s="208"/>
      <c r="O152" s="208"/>
      <c r="P152" s="208"/>
      <c r="Q152" s="208"/>
      <c r="R152" s="208"/>
      <c r="S152" s="208"/>
      <c r="T152" s="208"/>
      <c r="U152" s="208"/>
      <c r="V152" s="208"/>
      <c r="W152" s="208"/>
      <c r="X152" s="208"/>
      <c r="Y152" s="208"/>
      <c r="Z152" s="208"/>
    </row>
    <row r="153" ht="12.0" customHeight="1">
      <c r="M153" s="208"/>
      <c r="N153" s="208"/>
      <c r="O153" s="208"/>
      <c r="P153" s="208"/>
      <c r="Q153" s="208"/>
      <c r="R153" s="208"/>
      <c r="S153" s="208"/>
      <c r="T153" s="208"/>
      <c r="U153" s="208"/>
      <c r="V153" s="208"/>
      <c r="W153" s="208"/>
      <c r="X153" s="208"/>
      <c r="Y153" s="208"/>
      <c r="Z153" s="208"/>
    </row>
    <row r="154" ht="12.0" customHeight="1">
      <c r="M154" s="208"/>
      <c r="N154" s="208"/>
      <c r="O154" s="208"/>
      <c r="P154" s="208"/>
      <c r="Q154" s="208"/>
      <c r="R154" s="208"/>
      <c r="S154" s="208"/>
      <c r="T154" s="208"/>
      <c r="U154" s="208"/>
      <c r="V154" s="208"/>
      <c r="W154" s="208"/>
      <c r="X154" s="208"/>
      <c r="Y154" s="208"/>
      <c r="Z154" s="208"/>
    </row>
    <row r="155" ht="12.0" customHeight="1">
      <c r="M155" s="208"/>
      <c r="N155" s="208"/>
      <c r="O155" s="208"/>
      <c r="P155" s="208"/>
      <c r="Q155" s="208"/>
      <c r="R155" s="208"/>
      <c r="S155" s="208"/>
      <c r="T155" s="208"/>
      <c r="U155" s="208"/>
      <c r="V155" s="208"/>
      <c r="W155" s="208"/>
      <c r="X155" s="208"/>
      <c r="Y155" s="208"/>
      <c r="Z155" s="208"/>
    </row>
    <row r="156" ht="12.0" customHeight="1">
      <c r="M156" s="208"/>
      <c r="N156" s="208"/>
      <c r="O156" s="208"/>
      <c r="P156" s="208"/>
      <c r="Q156" s="208"/>
      <c r="R156" s="208"/>
      <c r="S156" s="208"/>
      <c r="T156" s="208"/>
      <c r="U156" s="208"/>
      <c r="V156" s="208"/>
      <c r="W156" s="208"/>
      <c r="X156" s="208"/>
      <c r="Y156" s="208"/>
      <c r="Z156" s="208"/>
    </row>
    <row r="157" ht="12.0" customHeight="1">
      <c r="M157" s="208"/>
      <c r="N157" s="208"/>
      <c r="O157" s="208"/>
      <c r="P157" s="208"/>
      <c r="Q157" s="208"/>
      <c r="R157" s="208"/>
      <c r="S157" s="208"/>
      <c r="T157" s="208"/>
      <c r="U157" s="208"/>
      <c r="V157" s="208"/>
      <c r="W157" s="208"/>
      <c r="X157" s="208"/>
      <c r="Y157" s="208"/>
      <c r="Z157" s="208"/>
    </row>
    <row r="158" ht="12.0" customHeight="1">
      <c r="M158" s="208"/>
      <c r="N158" s="208"/>
      <c r="O158" s="208"/>
      <c r="P158" s="208"/>
      <c r="Q158" s="208"/>
      <c r="R158" s="208"/>
      <c r="S158" s="208"/>
      <c r="T158" s="208"/>
      <c r="U158" s="208"/>
      <c r="V158" s="208"/>
      <c r="W158" s="208"/>
      <c r="X158" s="208"/>
      <c r="Y158" s="208"/>
      <c r="Z158" s="208"/>
    </row>
    <row r="159" ht="12.0" customHeight="1">
      <c r="M159" s="208"/>
      <c r="N159" s="208"/>
      <c r="O159" s="208"/>
      <c r="P159" s="208"/>
      <c r="Q159" s="208"/>
      <c r="R159" s="208"/>
      <c r="S159" s="208"/>
      <c r="T159" s="208"/>
      <c r="U159" s="208"/>
      <c r="V159" s="208"/>
      <c r="W159" s="208"/>
      <c r="X159" s="208"/>
      <c r="Y159" s="208"/>
      <c r="Z159" s="208"/>
    </row>
    <row r="160" ht="12.0" customHeight="1">
      <c r="M160" s="208"/>
      <c r="N160" s="208"/>
      <c r="O160" s="208"/>
      <c r="P160" s="208"/>
      <c r="Q160" s="208"/>
      <c r="R160" s="208"/>
      <c r="S160" s="208"/>
      <c r="T160" s="208"/>
      <c r="U160" s="208"/>
      <c r="V160" s="208"/>
      <c r="W160" s="208"/>
      <c r="X160" s="208"/>
      <c r="Y160" s="208"/>
      <c r="Z160" s="208"/>
    </row>
    <row r="161" ht="12.0" customHeight="1">
      <c r="M161" s="208"/>
      <c r="N161" s="208"/>
      <c r="O161" s="208"/>
      <c r="P161" s="208"/>
      <c r="Q161" s="208"/>
      <c r="R161" s="208"/>
      <c r="S161" s="208"/>
      <c r="T161" s="208"/>
      <c r="U161" s="208"/>
      <c r="V161" s="208"/>
      <c r="W161" s="208"/>
      <c r="X161" s="208"/>
      <c r="Y161" s="208"/>
      <c r="Z161" s="208"/>
    </row>
    <row r="162" ht="12.0" customHeight="1">
      <c r="M162" s="208"/>
      <c r="N162" s="208"/>
      <c r="O162" s="208"/>
      <c r="P162" s="208"/>
      <c r="Q162" s="208"/>
      <c r="R162" s="208"/>
      <c r="S162" s="208"/>
      <c r="T162" s="208"/>
      <c r="U162" s="208"/>
      <c r="V162" s="208"/>
      <c r="W162" s="208"/>
      <c r="X162" s="208"/>
      <c r="Y162" s="208"/>
      <c r="Z162" s="208"/>
    </row>
    <row r="163" ht="12.0" customHeight="1">
      <c r="M163" s="208"/>
      <c r="N163" s="208"/>
      <c r="O163" s="208"/>
      <c r="P163" s="208"/>
      <c r="Q163" s="208"/>
      <c r="R163" s="208"/>
      <c r="S163" s="208"/>
      <c r="T163" s="208"/>
      <c r="U163" s="208"/>
      <c r="V163" s="208"/>
      <c r="W163" s="208"/>
      <c r="X163" s="208"/>
      <c r="Y163" s="208"/>
      <c r="Z163" s="208"/>
    </row>
    <row r="164" ht="12.0" customHeight="1">
      <c r="M164" s="208"/>
      <c r="N164" s="208"/>
      <c r="O164" s="208"/>
      <c r="P164" s="208"/>
      <c r="Q164" s="208"/>
      <c r="R164" s="208"/>
      <c r="S164" s="208"/>
      <c r="T164" s="208"/>
      <c r="U164" s="208"/>
      <c r="V164" s="208"/>
      <c r="W164" s="208"/>
      <c r="X164" s="208"/>
      <c r="Y164" s="208"/>
      <c r="Z164" s="208"/>
    </row>
    <row r="165" ht="12.0" customHeight="1">
      <c r="M165" s="208"/>
      <c r="N165" s="208"/>
      <c r="O165" s="208"/>
      <c r="P165" s="208"/>
      <c r="Q165" s="208"/>
      <c r="R165" s="208"/>
      <c r="S165" s="208"/>
      <c r="T165" s="208"/>
      <c r="U165" s="208"/>
      <c r="V165" s="208"/>
      <c r="W165" s="208"/>
      <c r="X165" s="208"/>
      <c r="Y165" s="208"/>
      <c r="Z165" s="208"/>
    </row>
    <row r="166" ht="12.0" customHeight="1">
      <c r="M166" s="208"/>
      <c r="N166" s="208"/>
      <c r="O166" s="208"/>
      <c r="P166" s="208"/>
      <c r="Q166" s="208"/>
      <c r="R166" s="208"/>
      <c r="S166" s="208"/>
      <c r="T166" s="208"/>
      <c r="U166" s="208"/>
      <c r="V166" s="208"/>
      <c r="W166" s="208"/>
      <c r="X166" s="208"/>
      <c r="Y166" s="208"/>
      <c r="Z166" s="208"/>
    </row>
    <row r="167" ht="12.0" customHeight="1">
      <c r="M167" s="208"/>
      <c r="N167" s="208"/>
      <c r="O167" s="208"/>
      <c r="P167" s="208"/>
      <c r="Q167" s="208"/>
      <c r="R167" s="208"/>
      <c r="S167" s="208"/>
      <c r="T167" s="208"/>
      <c r="U167" s="208"/>
      <c r="V167" s="208"/>
      <c r="W167" s="208"/>
      <c r="X167" s="208"/>
      <c r="Y167" s="208"/>
      <c r="Z167" s="208"/>
    </row>
    <row r="168" ht="12.0" customHeight="1">
      <c r="M168" s="208"/>
      <c r="N168" s="208"/>
      <c r="O168" s="208"/>
      <c r="P168" s="208"/>
      <c r="Q168" s="208"/>
      <c r="R168" s="208"/>
      <c r="S168" s="208"/>
      <c r="T168" s="208"/>
      <c r="U168" s="208"/>
      <c r="V168" s="208"/>
      <c r="W168" s="208"/>
      <c r="X168" s="208"/>
      <c r="Y168" s="208"/>
      <c r="Z168" s="208"/>
    </row>
    <row r="169" ht="12.0" customHeight="1">
      <c r="M169" s="208"/>
      <c r="N169" s="208"/>
      <c r="O169" s="208"/>
      <c r="P169" s="208"/>
      <c r="Q169" s="208"/>
      <c r="R169" s="208"/>
      <c r="S169" s="208"/>
      <c r="T169" s="208"/>
      <c r="U169" s="208"/>
      <c r="V169" s="208"/>
      <c r="W169" s="208"/>
      <c r="X169" s="208"/>
      <c r="Y169" s="208"/>
      <c r="Z169" s="208"/>
    </row>
    <row r="170" ht="12.0" customHeight="1">
      <c r="M170" s="208"/>
      <c r="N170" s="208"/>
      <c r="O170" s="208"/>
      <c r="P170" s="208"/>
      <c r="Q170" s="208"/>
      <c r="R170" s="208"/>
      <c r="S170" s="208"/>
      <c r="T170" s="208"/>
      <c r="U170" s="208"/>
      <c r="V170" s="208"/>
      <c r="W170" s="208"/>
      <c r="X170" s="208"/>
      <c r="Y170" s="208"/>
      <c r="Z170" s="208"/>
    </row>
    <row r="171" ht="12.0" customHeight="1">
      <c r="M171" s="208"/>
      <c r="N171" s="208"/>
      <c r="O171" s="208"/>
      <c r="P171" s="208"/>
      <c r="Q171" s="208"/>
      <c r="R171" s="208"/>
      <c r="S171" s="208"/>
      <c r="T171" s="208"/>
      <c r="U171" s="208"/>
      <c r="V171" s="208"/>
      <c r="W171" s="208"/>
      <c r="X171" s="208"/>
      <c r="Y171" s="208"/>
      <c r="Z171" s="208"/>
    </row>
    <row r="172" ht="12.0" customHeight="1">
      <c r="M172" s="208"/>
      <c r="N172" s="208"/>
      <c r="O172" s="208"/>
      <c r="P172" s="208"/>
      <c r="Q172" s="208"/>
      <c r="R172" s="208"/>
      <c r="S172" s="208"/>
      <c r="T172" s="208"/>
      <c r="U172" s="208"/>
      <c r="V172" s="208"/>
      <c r="W172" s="208"/>
      <c r="X172" s="208"/>
      <c r="Y172" s="208"/>
      <c r="Z172" s="208"/>
    </row>
    <row r="173" ht="12.0" customHeight="1">
      <c r="M173" s="208"/>
      <c r="N173" s="208"/>
      <c r="O173" s="208"/>
      <c r="P173" s="208"/>
      <c r="Q173" s="208"/>
      <c r="R173" s="208"/>
      <c r="S173" s="208"/>
      <c r="T173" s="208"/>
      <c r="U173" s="208"/>
      <c r="V173" s="208"/>
      <c r="W173" s="208"/>
      <c r="X173" s="208"/>
      <c r="Y173" s="208"/>
      <c r="Z173" s="208"/>
    </row>
    <row r="174" ht="12.0" customHeight="1">
      <c r="M174" s="208"/>
      <c r="N174" s="208"/>
      <c r="O174" s="208"/>
      <c r="P174" s="208"/>
      <c r="Q174" s="208"/>
      <c r="R174" s="208"/>
      <c r="S174" s="208"/>
      <c r="T174" s="208"/>
      <c r="U174" s="208"/>
      <c r="V174" s="208"/>
      <c r="W174" s="208"/>
      <c r="X174" s="208"/>
      <c r="Y174" s="208"/>
      <c r="Z174" s="208"/>
    </row>
    <row r="175" ht="12.0" customHeight="1">
      <c r="M175" s="208"/>
      <c r="N175" s="208"/>
      <c r="O175" s="208"/>
      <c r="P175" s="208"/>
      <c r="Q175" s="208"/>
      <c r="R175" s="208"/>
      <c r="S175" s="208"/>
      <c r="T175" s="208"/>
      <c r="U175" s="208"/>
      <c r="V175" s="208"/>
      <c r="W175" s="208"/>
      <c r="X175" s="208"/>
      <c r="Y175" s="208"/>
      <c r="Z175" s="208"/>
    </row>
    <row r="176" ht="12.0" customHeight="1">
      <c r="M176" s="208"/>
      <c r="N176" s="208"/>
      <c r="O176" s="208"/>
      <c r="P176" s="208"/>
      <c r="Q176" s="208"/>
      <c r="R176" s="208"/>
      <c r="S176" s="208"/>
      <c r="T176" s="208"/>
      <c r="U176" s="208"/>
      <c r="V176" s="208"/>
      <c r="W176" s="208"/>
      <c r="X176" s="208"/>
      <c r="Y176" s="208"/>
      <c r="Z176" s="208"/>
    </row>
    <row r="177" ht="12.0" customHeight="1">
      <c r="M177" s="208"/>
      <c r="N177" s="208"/>
      <c r="O177" s="208"/>
      <c r="P177" s="208"/>
      <c r="Q177" s="208"/>
      <c r="R177" s="208"/>
      <c r="S177" s="208"/>
      <c r="T177" s="208"/>
      <c r="U177" s="208"/>
      <c r="V177" s="208"/>
      <c r="W177" s="208"/>
      <c r="X177" s="208"/>
      <c r="Y177" s="208"/>
      <c r="Z177" s="208"/>
    </row>
    <row r="178" ht="12.0" customHeight="1">
      <c r="M178" s="208"/>
      <c r="N178" s="208"/>
      <c r="O178" s="208"/>
      <c r="P178" s="208"/>
      <c r="Q178" s="208"/>
      <c r="R178" s="208"/>
      <c r="S178" s="208"/>
      <c r="T178" s="208"/>
      <c r="U178" s="208"/>
      <c r="V178" s="208"/>
      <c r="W178" s="208"/>
      <c r="X178" s="208"/>
      <c r="Y178" s="208"/>
      <c r="Z178" s="208"/>
    </row>
    <row r="179" ht="12.0" customHeight="1">
      <c r="M179" s="208"/>
      <c r="N179" s="208"/>
      <c r="O179" s="208"/>
      <c r="P179" s="208"/>
      <c r="Q179" s="208"/>
      <c r="R179" s="208"/>
      <c r="S179" s="208"/>
      <c r="T179" s="208"/>
      <c r="U179" s="208"/>
      <c r="V179" s="208"/>
      <c r="W179" s="208"/>
      <c r="X179" s="208"/>
      <c r="Y179" s="208"/>
      <c r="Z179" s="208"/>
    </row>
    <row r="180" ht="12.0" customHeight="1">
      <c r="M180" s="208"/>
      <c r="N180" s="208"/>
      <c r="O180" s="208"/>
      <c r="P180" s="208"/>
      <c r="Q180" s="208"/>
      <c r="R180" s="208"/>
      <c r="S180" s="208"/>
      <c r="T180" s="208"/>
      <c r="U180" s="208"/>
      <c r="V180" s="208"/>
      <c r="W180" s="208"/>
      <c r="X180" s="208"/>
      <c r="Y180" s="208"/>
      <c r="Z180" s="208"/>
    </row>
    <row r="181" ht="12.0" customHeight="1">
      <c r="M181" s="208"/>
      <c r="N181" s="208"/>
      <c r="O181" s="208"/>
      <c r="P181" s="208"/>
      <c r="Q181" s="208"/>
      <c r="R181" s="208"/>
      <c r="S181" s="208"/>
      <c r="T181" s="208"/>
      <c r="U181" s="208"/>
      <c r="V181" s="208"/>
      <c r="W181" s="208"/>
      <c r="X181" s="208"/>
      <c r="Y181" s="208"/>
      <c r="Z181" s="208"/>
    </row>
    <row r="182" ht="12.0" customHeight="1">
      <c r="M182" s="208"/>
      <c r="N182" s="208"/>
      <c r="O182" s="208"/>
      <c r="P182" s="208"/>
      <c r="Q182" s="208"/>
      <c r="R182" s="208"/>
      <c r="S182" s="208"/>
      <c r="T182" s="208"/>
      <c r="U182" s="208"/>
      <c r="V182" s="208"/>
      <c r="W182" s="208"/>
      <c r="X182" s="208"/>
      <c r="Y182" s="208"/>
      <c r="Z182" s="208"/>
    </row>
    <row r="183" ht="12.0" customHeight="1">
      <c r="M183" s="208"/>
      <c r="N183" s="208"/>
      <c r="O183" s="208"/>
      <c r="P183" s="208"/>
      <c r="Q183" s="208"/>
      <c r="R183" s="208"/>
      <c r="S183" s="208"/>
      <c r="T183" s="208"/>
      <c r="U183" s="208"/>
      <c r="V183" s="208"/>
      <c r="W183" s="208"/>
      <c r="X183" s="208"/>
      <c r="Y183" s="208"/>
      <c r="Z183" s="208"/>
    </row>
    <row r="184" ht="12.0" customHeight="1">
      <c r="M184" s="208"/>
      <c r="N184" s="208"/>
      <c r="O184" s="208"/>
      <c r="P184" s="208"/>
      <c r="Q184" s="208"/>
      <c r="R184" s="208"/>
      <c r="S184" s="208"/>
      <c r="T184" s="208"/>
      <c r="U184" s="208"/>
      <c r="V184" s="208"/>
      <c r="W184" s="208"/>
      <c r="X184" s="208"/>
      <c r="Y184" s="208"/>
      <c r="Z184" s="208"/>
    </row>
    <row r="185" ht="12.0" customHeight="1">
      <c r="M185" s="208"/>
      <c r="N185" s="208"/>
      <c r="O185" s="208"/>
      <c r="P185" s="208"/>
      <c r="Q185" s="208"/>
      <c r="R185" s="208"/>
      <c r="S185" s="208"/>
      <c r="T185" s="208"/>
      <c r="U185" s="208"/>
      <c r="V185" s="208"/>
      <c r="W185" s="208"/>
      <c r="X185" s="208"/>
      <c r="Y185" s="208"/>
      <c r="Z185" s="208"/>
    </row>
    <row r="186" ht="12.0" customHeight="1">
      <c r="M186" s="208"/>
      <c r="N186" s="208"/>
      <c r="O186" s="208"/>
      <c r="P186" s="208"/>
      <c r="Q186" s="208"/>
      <c r="R186" s="208"/>
      <c r="S186" s="208"/>
      <c r="T186" s="208"/>
      <c r="U186" s="208"/>
      <c r="V186" s="208"/>
      <c r="W186" s="208"/>
      <c r="X186" s="208"/>
      <c r="Y186" s="208"/>
      <c r="Z186" s="208"/>
    </row>
    <row r="187" ht="12.0" customHeight="1">
      <c r="M187" s="208"/>
      <c r="N187" s="208"/>
      <c r="O187" s="208"/>
      <c r="P187" s="208"/>
      <c r="Q187" s="208"/>
      <c r="R187" s="208"/>
      <c r="S187" s="208"/>
      <c r="T187" s="208"/>
      <c r="U187" s="208"/>
      <c r="V187" s="208"/>
      <c r="W187" s="208"/>
      <c r="X187" s="208"/>
      <c r="Y187" s="208"/>
      <c r="Z187" s="208"/>
    </row>
    <row r="188" ht="12.0" customHeight="1">
      <c r="M188" s="208"/>
      <c r="N188" s="208"/>
      <c r="O188" s="208"/>
      <c r="P188" s="208"/>
      <c r="Q188" s="208"/>
      <c r="R188" s="208"/>
      <c r="S188" s="208"/>
      <c r="T188" s="208"/>
      <c r="U188" s="208"/>
      <c r="V188" s="208"/>
      <c r="W188" s="208"/>
      <c r="X188" s="208"/>
      <c r="Y188" s="208"/>
      <c r="Z188" s="208"/>
    </row>
    <row r="189" ht="12.0" customHeight="1">
      <c r="M189" s="208"/>
      <c r="N189" s="208"/>
      <c r="O189" s="208"/>
      <c r="P189" s="208"/>
      <c r="Q189" s="208"/>
      <c r="R189" s="208"/>
      <c r="S189" s="208"/>
      <c r="T189" s="208"/>
      <c r="U189" s="208"/>
      <c r="V189" s="208"/>
      <c r="W189" s="208"/>
      <c r="X189" s="208"/>
      <c r="Y189" s="208"/>
      <c r="Z189" s="208"/>
    </row>
    <row r="190" ht="12.0" customHeight="1">
      <c r="M190" s="208"/>
      <c r="N190" s="208"/>
      <c r="O190" s="208"/>
      <c r="P190" s="208"/>
      <c r="Q190" s="208"/>
      <c r="R190" s="208"/>
      <c r="S190" s="208"/>
      <c r="T190" s="208"/>
      <c r="U190" s="208"/>
      <c r="V190" s="208"/>
      <c r="W190" s="208"/>
      <c r="X190" s="208"/>
      <c r="Y190" s="208"/>
      <c r="Z190" s="208"/>
    </row>
    <row r="191" ht="12.0" customHeight="1">
      <c r="M191" s="208"/>
      <c r="N191" s="208"/>
      <c r="O191" s="208"/>
      <c r="P191" s="208"/>
      <c r="Q191" s="208"/>
      <c r="R191" s="208"/>
      <c r="S191" s="208"/>
      <c r="T191" s="208"/>
      <c r="U191" s="208"/>
      <c r="V191" s="208"/>
      <c r="W191" s="208"/>
      <c r="X191" s="208"/>
      <c r="Y191" s="208"/>
      <c r="Z191" s="208"/>
    </row>
    <row r="192" ht="12.0" customHeight="1">
      <c r="M192" s="208"/>
      <c r="N192" s="208"/>
      <c r="O192" s="208"/>
      <c r="P192" s="208"/>
      <c r="Q192" s="208"/>
      <c r="R192" s="208"/>
      <c r="S192" s="208"/>
      <c r="T192" s="208"/>
      <c r="U192" s="208"/>
      <c r="V192" s="208"/>
      <c r="W192" s="208"/>
      <c r="X192" s="208"/>
      <c r="Y192" s="208"/>
      <c r="Z192" s="208"/>
    </row>
    <row r="193" ht="12.0" customHeight="1">
      <c r="M193" s="208"/>
      <c r="N193" s="208"/>
      <c r="O193" s="208"/>
      <c r="P193" s="208"/>
      <c r="Q193" s="208"/>
      <c r="R193" s="208"/>
      <c r="S193" s="208"/>
      <c r="T193" s="208"/>
      <c r="U193" s="208"/>
      <c r="V193" s="208"/>
      <c r="W193" s="208"/>
      <c r="X193" s="208"/>
      <c r="Y193" s="208"/>
      <c r="Z193" s="208"/>
    </row>
    <row r="194" ht="12.0" customHeight="1">
      <c r="M194" s="208"/>
      <c r="N194" s="208"/>
      <c r="O194" s="208"/>
      <c r="P194" s="208"/>
      <c r="Q194" s="208"/>
      <c r="R194" s="208"/>
      <c r="S194" s="208"/>
      <c r="T194" s="208"/>
      <c r="U194" s="208"/>
      <c r="V194" s="208"/>
      <c r="W194" s="208"/>
      <c r="X194" s="208"/>
      <c r="Y194" s="208"/>
      <c r="Z194" s="208"/>
    </row>
    <row r="195" ht="12.0" customHeight="1">
      <c r="M195" s="208"/>
      <c r="N195" s="208"/>
      <c r="O195" s="208"/>
      <c r="P195" s="208"/>
      <c r="Q195" s="208"/>
      <c r="R195" s="208"/>
      <c r="S195" s="208"/>
      <c r="T195" s="208"/>
      <c r="U195" s="208"/>
      <c r="V195" s="208"/>
      <c r="W195" s="208"/>
      <c r="X195" s="208"/>
      <c r="Y195" s="208"/>
      <c r="Z195" s="208"/>
    </row>
    <row r="196" ht="12.0" customHeight="1">
      <c r="M196" s="208"/>
      <c r="N196" s="208"/>
      <c r="O196" s="208"/>
      <c r="P196" s="208"/>
      <c r="Q196" s="208"/>
      <c r="R196" s="208"/>
      <c r="S196" s="208"/>
      <c r="T196" s="208"/>
      <c r="U196" s="208"/>
      <c r="V196" s="208"/>
      <c r="W196" s="208"/>
      <c r="X196" s="208"/>
      <c r="Y196" s="208"/>
      <c r="Z196" s="208"/>
    </row>
    <row r="197" ht="12.0" customHeight="1">
      <c r="M197" s="208"/>
      <c r="N197" s="208"/>
      <c r="O197" s="208"/>
      <c r="P197" s="208"/>
      <c r="Q197" s="208"/>
      <c r="R197" s="208"/>
      <c r="S197" s="208"/>
      <c r="T197" s="208"/>
      <c r="U197" s="208"/>
      <c r="V197" s="208"/>
      <c r="W197" s="208"/>
      <c r="X197" s="208"/>
      <c r="Y197" s="208"/>
      <c r="Z197" s="208"/>
    </row>
    <row r="198" ht="12.0" customHeight="1">
      <c r="M198" s="208"/>
      <c r="N198" s="208"/>
      <c r="O198" s="208"/>
      <c r="P198" s="208"/>
      <c r="Q198" s="208"/>
      <c r="R198" s="208"/>
      <c r="S198" s="208"/>
      <c r="T198" s="208"/>
      <c r="U198" s="208"/>
      <c r="V198" s="208"/>
      <c r="W198" s="208"/>
      <c r="X198" s="208"/>
      <c r="Y198" s="208"/>
      <c r="Z198" s="208"/>
    </row>
    <row r="199" ht="12.0" customHeight="1">
      <c r="M199" s="208"/>
      <c r="N199" s="208"/>
      <c r="O199" s="208"/>
      <c r="P199" s="208"/>
      <c r="Q199" s="208"/>
      <c r="R199" s="208"/>
      <c r="S199" s="208"/>
      <c r="T199" s="208"/>
      <c r="U199" s="208"/>
      <c r="V199" s="208"/>
      <c r="W199" s="208"/>
      <c r="X199" s="208"/>
      <c r="Y199" s="208"/>
      <c r="Z199" s="208"/>
    </row>
    <row r="200" ht="12.0" customHeight="1">
      <c r="M200" s="208"/>
      <c r="N200" s="208"/>
      <c r="O200" s="208"/>
      <c r="P200" s="208"/>
      <c r="Q200" s="208"/>
      <c r="R200" s="208"/>
      <c r="S200" s="208"/>
      <c r="T200" s="208"/>
      <c r="U200" s="208"/>
      <c r="V200" s="208"/>
      <c r="W200" s="208"/>
      <c r="X200" s="208"/>
      <c r="Y200" s="208"/>
      <c r="Z200" s="208"/>
    </row>
    <row r="201" ht="12.0" customHeight="1">
      <c r="M201" s="208"/>
      <c r="N201" s="208"/>
      <c r="O201" s="208"/>
      <c r="P201" s="208"/>
      <c r="Q201" s="208"/>
      <c r="R201" s="208"/>
      <c r="S201" s="208"/>
      <c r="T201" s="208"/>
      <c r="U201" s="208"/>
      <c r="V201" s="208"/>
      <c r="W201" s="208"/>
      <c r="X201" s="208"/>
      <c r="Y201" s="208"/>
      <c r="Z201" s="208"/>
    </row>
    <row r="202" ht="12.0" customHeight="1">
      <c r="M202" s="208"/>
      <c r="N202" s="208"/>
      <c r="O202" s="208"/>
      <c r="P202" s="208"/>
      <c r="Q202" s="208"/>
      <c r="R202" s="208"/>
      <c r="S202" s="208"/>
      <c r="T202" s="208"/>
      <c r="U202" s="208"/>
      <c r="V202" s="208"/>
      <c r="W202" s="208"/>
      <c r="X202" s="208"/>
      <c r="Y202" s="208"/>
      <c r="Z202" s="208"/>
    </row>
    <row r="203" ht="12.0" customHeight="1">
      <c r="M203" s="208"/>
      <c r="N203" s="208"/>
      <c r="O203" s="208"/>
      <c r="P203" s="208"/>
      <c r="Q203" s="208"/>
      <c r="R203" s="208"/>
      <c r="S203" s="208"/>
      <c r="T203" s="208"/>
      <c r="U203" s="208"/>
      <c r="V203" s="208"/>
      <c r="W203" s="208"/>
      <c r="X203" s="208"/>
      <c r="Y203" s="208"/>
      <c r="Z203" s="208"/>
    </row>
    <row r="204" ht="12.0" customHeight="1">
      <c r="M204" s="208"/>
      <c r="N204" s="208"/>
      <c r="O204" s="208"/>
      <c r="P204" s="208"/>
      <c r="Q204" s="208"/>
      <c r="R204" s="208"/>
      <c r="S204" s="208"/>
      <c r="T204" s="208"/>
      <c r="U204" s="208"/>
      <c r="V204" s="208"/>
      <c r="W204" s="208"/>
      <c r="X204" s="208"/>
      <c r="Y204" s="208"/>
      <c r="Z204" s="208"/>
    </row>
    <row r="205" ht="12.0" customHeight="1">
      <c r="M205" s="208"/>
      <c r="N205" s="208"/>
      <c r="O205" s="208"/>
      <c r="P205" s="208"/>
      <c r="Q205" s="208"/>
      <c r="R205" s="208"/>
      <c r="S205" s="208"/>
      <c r="T205" s="208"/>
      <c r="U205" s="208"/>
      <c r="V205" s="208"/>
      <c r="W205" s="208"/>
      <c r="X205" s="208"/>
      <c r="Y205" s="208"/>
      <c r="Z205" s="208"/>
    </row>
    <row r="206" ht="12.0" customHeight="1">
      <c r="M206" s="208"/>
      <c r="N206" s="208"/>
      <c r="O206" s="208"/>
      <c r="P206" s="208"/>
      <c r="Q206" s="208"/>
      <c r="R206" s="208"/>
      <c r="S206" s="208"/>
      <c r="T206" s="208"/>
      <c r="U206" s="208"/>
      <c r="V206" s="208"/>
      <c r="W206" s="208"/>
      <c r="X206" s="208"/>
      <c r="Y206" s="208"/>
      <c r="Z206" s="208"/>
    </row>
    <row r="207" ht="12.0" customHeight="1">
      <c r="M207" s="208"/>
      <c r="N207" s="208"/>
      <c r="O207" s="208"/>
      <c r="P207" s="208"/>
      <c r="Q207" s="208"/>
      <c r="R207" s="208"/>
      <c r="S207" s="208"/>
      <c r="T207" s="208"/>
      <c r="U207" s="208"/>
      <c r="V207" s="208"/>
      <c r="W207" s="208"/>
      <c r="X207" s="208"/>
      <c r="Y207" s="208"/>
      <c r="Z207" s="208"/>
    </row>
    <row r="208" ht="12.0" customHeight="1">
      <c r="M208" s="208"/>
      <c r="N208" s="208"/>
      <c r="O208" s="208"/>
      <c r="P208" s="208"/>
      <c r="Q208" s="208"/>
      <c r="R208" s="208"/>
      <c r="S208" s="208"/>
      <c r="T208" s="208"/>
      <c r="U208" s="208"/>
      <c r="V208" s="208"/>
      <c r="W208" s="208"/>
      <c r="X208" s="208"/>
      <c r="Y208" s="208"/>
      <c r="Z208" s="208"/>
    </row>
    <row r="209" ht="12.0" customHeight="1">
      <c r="M209" s="208"/>
      <c r="N209" s="208"/>
      <c r="O209" s="208"/>
      <c r="P209" s="208"/>
      <c r="Q209" s="208"/>
      <c r="R209" s="208"/>
      <c r="S209" s="208"/>
      <c r="T209" s="208"/>
      <c r="U209" s="208"/>
      <c r="V209" s="208"/>
      <c r="W209" s="208"/>
      <c r="X209" s="208"/>
      <c r="Y209" s="208"/>
      <c r="Z209" s="208"/>
    </row>
    <row r="210" ht="12.0" customHeight="1">
      <c r="M210" s="208"/>
      <c r="N210" s="208"/>
      <c r="O210" s="208"/>
      <c r="P210" s="208"/>
      <c r="Q210" s="208"/>
      <c r="R210" s="208"/>
      <c r="S210" s="208"/>
      <c r="T210" s="208"/>
      <c r="U210" s="208"/>
      <c r="V210" s="208"/>
      <c r="W210" s="208"/>
      <c r="X210" s="208"/>
      <c r="Y210" s="208"/>
      <c r="Z210" s="208"/>
    </row>
    <row r="211" ht="12.0" customHeight="1">
      <c r="M211" s="208"/>
      <c r="N211" s="208"/>
      <c r="O211" s="208"/>
      <c r="P211" s="208"/>
      <c r="Q211" s="208"/>
      <c r="R211" s="208"/>
      <c r="S211" s="208"/>
      <c r="T211" s="208"/>
      <c r="U211" s="208"/>
      <c r="V211" s="208"/>
      <c r="W211" s="208"/>
      <c r="X211" s="208"/>
      <c r="Y211" s="208"/>
      <c r="Z211" s="208"/>
    </row>
    <row r="212" ht="12.0" customHeight="1">
      <c r="M212" s="208"/>
      <c r="N212" s="208"/>
      <c r="O212" s="208"/>
      <c r="P212" s="208"/>
      <c r="Q212" s="208"/>
      <c r="R212" s="208"/>
      <c r="S212" s="208"/>
      <c r="T212" s="208"/>
      <c r="U212" s="208"/>
      <c r="V212" s="208"/>
      <c r="W212" s="208"/>
      <c r="X212" s="208"/>
      <c r="Y212" s="208"/>
      <c r="Z212" s="208"/>
    </row>
    <row r="213" ht="12.0" customHeight="1">
      <c r="M213" s="208"/>
      <c r="N213" s="208"/>
      <c r="O213" s="208"/>
      <c r="P213" s="208"/>
      <c r="Q213" s="208"/>
      <c r="R213" s="208"/>
      <c r="S213" s="208"/>
      <c r="T213" s="208"/>
      <c r="U213" s="208"/>
      <c r="V213" s="208"/>
      <c r="W213" s="208"/>
      <c r="X213" s="208"/>
      <c r="Y213" s="208"/>
      <c r="Z213" s="208"/>
    </row>
    <row r="214" ht="12.0" customHeight="1">
      <c r="M214" s="208"/>
      <c r="N214" s="208"/>
      <c r="O214" s="208"/>
      <c r="P214" s="208"/>
      <c r="Q214" s="208"/>
      <c r="R214" s="208"/>
      <c r="S214" s="208"/>
      <c r="T214" s="208"/>
      <c r="U214" s="208"/>
      <c r="V214" s="208"/>
      <c r="W214" s="208"/>
      <c r="X214" s="208"/>
      <c r="Y214" s="208"/>
      <c r="Z214" s="208"/>
    </row>
    <row r="215" ht="12.0" customHeight="1">
      <c r="M215" s="208"/>
      <c r="N215" s="208"/>
      <c r="O215" s="208"/>
      <c r="P215" s="208"/>
      <c r="Q215" s="208"/>
      <c r="R215" s="208"/>
      <c r="S215" s="208"/>
      <c r="T215" s="208"/>
      <c r="U215" s="208"/>
      <c r="V215" s="208"/>
      <c r="W215" s="208"/>
      <c r="X215" s="208"/>
      <c r="Y215" s="208"/>
      <c r="Z215" s="208"/>
    </row>
    <row r="216" ht="12.0" customHeight="1">
      <c r="M216" s="208"/>
      <c r="N216" s="208"/>
      <c r="O216" s="208"/>
      <c r="P216" s="208"/>
      <c r="Q216" s="208"/>
      <c r="R216" s="208"/>
      <c r="S216" s="208"/>
      <c r="T216" s="208"/>
      <c r="U216" s="208"/>
      <c r="V216" s="208"/>
      <c r="W216" s="208"/>
      <c r="X216" s="208"/>
      <c r="Y216" s="208"/>
      <c r="Z216" s="208"/>
    </row>
    <row r="217" ht="12.0" customHeight="1">
      <c r="M217" s="208"/>
      <c r="N217" s="208"/>
      <c r="O217" s="208"/>
      <c r="P217" s="208"/>
      <c r="Q217" s="208"/>
      <c r="R217" s="208"/>
      <c r="S217" s="208"/>
      <c r="T217" s="208"/>
      <c r="U217" s="208"/>
      <c r="V217" s="208"/>
      <c r="W217" s="208"/>
      <c r="X217" s="208"/>
      <c r="Y217" s="208"/>
      <c r="Z217" s="208"/>
    </row>
    <row r="218" ht="12.0" customHeight="1">
      <c r="M218" s="208"/>
      <c r="N218" s="208"/>
      <c r="O218" s="208"/>
      <c r="P218" s="208"/>
      <c r="Q218" s="208"/>
      <c r="R218" s="208"/>
      <c r="S218" s="208"/>
      <c r="T218" s="208"/>
      <c r="U218" s="208"/>
      <c r="V218" s="208"/>
      <c r="W218" s="208"/>
      <c r="X218" s="208"/>
      <c r="Y218" s="208"/>
      <c r="Z218" s="208"/>
    </row>
    <row r="219" ht="12.0" customHeight="1">
      <c r="M219" s="208"/>
      <c r="N219" s="208"/>
      <c r="O219" s="208"/>
      <c r="P219" s="208"/>
      <c r="Q219" s="208"/>
      <c r="R219" s="208"/>
      <c r="S219" s="208"/>
      <c r="T219" s="208"/>
      <c r="U219" s="208"/>
      <c r="V219" s="208"/>
      <c r="W219" s="208"/>
      <c r="X219" s="208"/>
      <c r="Y219" s="208"/>
      <c r="Z219" s="208"/>
    </row>
    <row r="220" ht="12.0" customHeight="1">
      <c r="M220" s="208"/>
      <c r="N220" s="208"/>
      <c r="O220" s="208"/>
      <c r="P220" s="208"/>
      <c r="Q220" s="208"/>
      <c r="R220" s="208"/>
      <c r="S220" s="208"/>
      <c r="T220" s="208"/>
      <c r="U220" s="208"/>
      <c r="V220" s="208"/>
      <c r="W220" s="208"/>
      <c r="X220" s="208"/>
      <c r="Y220" s="208"/>
      <c r="Z220" s="208"/>
    </row>
    <row r="221" ht="12.0" customHeight="1">
      <c r="M221" s="208"/>
      <c r="N221" s="208"/>
      <c r="O221" s="208"/>
      <c r="P221" s="208"/>
      <c r="Q221" s="208"/>
      <c r="R221" s="208"/>
      <c r="S221" s="208"/>
      <c r="T221" s="208"/>
      <c r="U221" s="208"/>
      <c r="V221" s="208"/>
      <c r="W221" s="208"/>
      <c r="X221" s="208"/>
      <c r="Y221" s="208"/>
      <c r="Z221" s="208"/>
    </row>
    <row r="222" ht="12.0" customHeight="1">
      <c r="M222" s="208"/>
      <c r="N222" s="208"/>
      <c r="O222" s="208"/>
      <c r="P222" s="208"/>
      <c r="Q222" s="208"/>
      <c r="R222" s="208"/>
      <c r="S222" s="208"/>
      <c r="T222" s="208"/>
      <c r="U222" s="208"/>
      <c r="V222" s="208"/>
      <c r="W222" s="208"/>
      <c r="X222" s="208"/>
      <c r="Y222" s="208"/>
      <c r="Z222" s="208"/>
    </row>
    <row r="223" ht="12.0" customHeight="1">
      <c r="M223" s="208"/>
      <c r="N223" s="208"/>
      <c r="O223" s="208"/>
      <c r="P223" s="208"/>
      <c r="Q223" s="208"/>
      <c r="R223" s="208"/>
      <c r="S223" s="208"/>
      <c r="T223" s="208"/>
      <c r="U223" s="208"/>
      <c r="V223" s="208"/>
      <c r="W223" s="208"/>
      <c r="X223" s="208"/>
      <c r="Y223" s="208"/>
      <c r="Z223" s="208"/>
    </row>
    <row r="224" ht="12.0" customHeight="1">
      <c r="M224" s="208"/>
      <c r="N224" s="208"/>
      <c r="O224" s="208"/>
      <c r="P224" s="208"/>
      <c r="Q224" s="208"/>
      <c r="R224" s="208"/>
      <c r="S224" s="208"/>
      <c r="T224" s="208"/>
      <c r="U224" s="208"/>
      <c r="V224" s="208"/>
      <c r="W224" s="208"/>
      <c r="X224" s="208"/>
      <c r="Y224" s="208"/>
      <c r="Z224" s="208"/>
    </row>
    <row r="225" ht="12.0" customHeight="1">
      <c r="M225" s="208"/>
      <c r="N225" s="208"/>
      <c r="O225" s="208"/>
      <c r="P225" s="208"/>
      <c r="Q225" s="208"/>
      <c r="R225" s="208"/>
      <c r="S225" s="208"/>
      <c r="T225" s="208"/>
      <c r="U225" s="208"/>
      <c r="V225" s="208"/>
      <c r="W225" s="208"/>
      <c r="X225" s="208"/>
      <c r="Y225" s="208"/>
      <c r="Z225" s="208"/>
    </row>
    <row r="226" ht="12.0" customHeight="1">
      <c r="M226" s="208"/>
      <c r="N226" s="208"/>
      <c r="O226" s="208"/>
      <c r="P226" s="208"/>
      <c r="Q226" s="208"/>
      <c r="R226" s="208"/>
      <c r="S226" s="208"/>
      <c r="T226" s="208"/>
      <c r="U226" s="208"/>
      <c r="V226" s="208"/>
      <c r="W226" s="208"/>
      <c r="X226" s="208"/>
      <c r="Y226" s="208"/>
      <c r="Z226" s="208"/>
    </row>
    <row r="227" ht="12.0" customHeight="1">
      <c r="M227" s="208"/>
      <c r="N227" s="208"/>
      <c r="O227" s="208"/>
      <c r="P227" s="208"/>
      <c r="Q227" s="208"/>
      <c r="R227" s="208"/>
      <c r="S227" s="208"/>
      <c r="T227" s="208"/>
      <c r="U227" s="208"/>
      <c r="V227" s="208"/>
      <c r="W227" s="208"/>
      <c r="X227" s="208"/>
      <c r="Y227" s="208"/>
      <c r="Z227" s="208"/>
    </row>
    <row r="228" ht="12.0" customHeight="1">
      <c r="M228" s="208"/>
      <c r="N228" s="208"/>
      <c r="O228" s="208"/>
      <c r="P228" s="208"/>
      <c r="Q228" s="208"/>
      <c r="R228" s="208"/>
      <c r="S228" s="208"/>
      <c r="T228" s="208"/>
      <c r="U228" s="208"/>
      <c r="V228" s="208"/>
      <c r="W228" s="208"/>
      <c r="X228" s="208"/>
      <c r="Y228" s="208"/>
      <c r="Z228" s="208"/>
    </row>
    <row r="229" ht="12.0" customHeight="1">
      <c r="M229" s="208"/>
      <c r="N229" s="208"/>
      <c r="O229" s="208"/>
      <c r="P229" s="208"/>
      <c r="Q229" s="208"/>
      <c r="R229" s="208"/>
      <c r="S229" s="208"/>
      <c r="T229" s="208"/>
      <c r="U229" s="208"/>
      <c r="V229" s="208"/>
      <c r="W229" s="208"/>
      <c r="X229" s="208"/>
      <c r="Y229" s="208"/>
      <c r="Z229" s="208"/>
    </row>
    <row r="230" ht="12.0" customHeight="1">
      <c r="M230" s="208"/>
      <c r="N230" s="208"/>
      <c r="O230" s="208"/>
      <c r="P230" s="208"/>
      <c r="Q230" s="208"/>
      <c r="R230" s="208"/>
      <c r="S230" s="208"/>
      <c r="T230" s="208"/>
      <c r="U230" s="208"/>
      <c r="V230" s="208"/>
      <c r="W230" s="208"/>
      <c r="X230" s="208"/>
      <c r="Y230" s="208"/>
      <c r="Z230" s="208"/>
    </row>
    <row r="231" ht="12.0" customHeight="1">
      <c r="M231" s="208"/>
      <c r="N231" s="208"/>
      <c r="O231" s="208"/>
      <c r="P231" s="208"/>
      <c r="Q231" s="208"/>
      <c r="R231" s="208"/>
      <c r="S231" s="208"/>
      <c r="T231" s="208"/>
      <c r="U231" s="208"/>
      <c r="V231" s="208"/>
      <c r="W231" s="208"/>
      <c r="X231" s="208"/>
      <c r="Y231" s="208"/>
      <c r="Z231" s="208"/>
    </row>
    <row r="232" ht="12.0" customHeight="1">
      <c r="M232" s="208"/>
      <c r="N232" s="208"/>
      <c r="O232" s="208"/>
      <c r="P232" s="208"/>
      <c r="Q232" s="208"/>
      <c r="R232" s="208"/>
      <c r="S232" s="208"/>
      <c r="T232" s="208"/>
      <c r="U232" s="208"/>
      <c r="V232" s="208"/>
      <c r="W232" s="208"/>
      <c r="X232" s="208"/>
      <c r="Y232" s="208"/>
      <c r="Z232" s="208"/>
    </row>
    <row r="233" ht="12.0" customHeight="1">
      <c r="M233" s="208"/>
      <c r="N233" s="208"/>
      <c r="O233" s="208"/>
      <c r="P233" s="208"/>
      <c r="Q233" s="208"/>
      <c r="R233" s="208"/>
      <c r="S233" s="208"/>
      <c r="T233" s="208"/>
      <c r="U233" s="208"/>
      <c r="V233" s="208"/>
      <c r="W233" s="208"/>
      <c r="X233" s="208"/>
      <c r="Y233" s="208"/>
      <c r="Z233" s="208"/>
    </row>
    <row r="234" ht="12.0" customHeight="1">
      <c r="M234" s="208"/>
      <c r="N234" s="208"/>
      <c r="O234" s="208"/>
      <c r="P234" s="208"/>
      <c r="Q234" s="208"/>
      <c r="R234" s="208"/>
      <c r="S234" s="208"/>
      <c r="T234" s="208"/>
      <c r="U234" s="208"/>
      <c r="V234" s="208"/>
      <c r="W234" s="208"/>
      <c r="X234" s="208"/>
      <c r="Y234" s="208"/>
      <c r="Z234" s="208"/>
    </row>
    <row r="235" ht="12.0" customHeight="1">
      <c r="M235" s="208"/>
      <c r="N235" s="208"/>
      <c r="O235" s="208"/>
      <c r="P235" s="208"/>
      <c r="Q235" s="208"/>
      <c r="R235" s="208"/>
      <c r="S235" s="208"/>
      <c r="T235" s="208"/>
      <c r="U235" s="208"/>
      <c r="V235" s="208"/>
      <c r="W235" s="208"/>
      <c r="X235" s="208"/>
      <c r="Y235" s="208"/>
      <c r="Z235" s="208"/>
    </row>
    <row r="236" ht="12.0" customHeight="1">
      <c r="M236" s="208"/>
      <c r="N236" s="208"/>
      <c r="O236" s="208"/>
      <c r="P236" s="208"/>
      <c r="Q236" s="208"/>
      <c r="R236" s="208"/>
      <c r="S236" s="208"/>
      <c r="T236" s="208"/>
      <c r="U236" s="208"/>
      <c r="V236" s="208"/>
      <c r="W236" s="208"/>
      <c r="X236" s="208"/>
      <c r="Y236" s="208"/>
      <c r="Z236" s="208"/>
    </row>
    <row r="237" ht="12.0" customHeight="1">
      <c r="M237" s="208"/>
      <c r="N237" s="208"/>
      <c r="O237" s="208"/>
      <c r="P237" s="208"/>
      <c r="Q237" s="208"/>
      <c r="R237" s="208"/>
      <c r="S237" s="208"/>
      <c r="T237" s="208"/>
      <c r="U237" s="208"/>
      <c r="V237" s="208"/>
      <c r="W237" s="208"/>
      <c r="X237" s="208"/>
      <c r="Y237" s="208"/>
      <c r="Z237" s="208"/>
    </row>
    <row r="238" ht="12.0" customHeight="1">
      <c r="M238" s="208"/>
      <c r="N238" s="208"/>
      <c r="O238" s="208"/>
      <c r="P238" s="208"/>
      <c r="Q238" s="208"/>
      <c r="R238" s="208"/>
      <c r="S238" s="208"/>
      <c r="T238" s="208"/>
      <c r="U238" s="208"/>
      <c r="V238" s="208"/>
      <c r="W238" s="208"/>
      <c r="X238" s="208"/>
      <c r="Y238" s="208"/>
      <c r="Z238" s="208"/>
    </row>
    <row r="239" ht="12.0" customHeight="1">
      <c r="M239" s="208"/>
      <c r="N239" s="208"/>
      <c r="O239" s="208"/>
      <c r="P239" s="208"/>
      <c r="Q239" s="208"/>
      <c r="R239" s="208"/>
      <c r="S239" s="208"/>
      <c r="T239" s="208"/>
      <c r="U239" s="208"/>
      <c r="V239" s="208"/>
      <c r="W239" s="208"/>
      <c r="X239" s="208"/>
      <c r="Y239" s="208"/>
      <c r="Z239" s="208"/>
    </row>
    <row r="240" ht="12.0" customHeight="1">
      <c r="M240" s="208"/>
      <c r="N240" s="208"/>
      <c r="O240" s="208"/>
      <c r="P240" s="208"/>
      <c r="Q240" s="208"/>
      <c r="R240" s="208"/>
      <c r="S240" s="208"/>
      <c r="T240" s="208"/>
      <c r="U240" s="208"/>
      <c r="V240" s="208"/>
      <c r="W240" s="208"/>
      <c r="X240" s="208"/>
      <c r="Y240" s="208"/>
      <c r="Z240" s="208"/>
    </row>
    <row r="241" ht="12.0" customHeight="1">
      <c r="M241" s="208"/>
      <c r="N241" s="208"/>
      <c r="O241" s="208"/>
      <c r="P241" s="208"/>
      <c r="Q241" s="208"/>
      <c r="R241" s="208"/>
      <c r="S241" s="208"/>
      <c r="T241" s="208"/>
      <c r="U241" s="208"/>
      <c r="V241" s="208"/>
      <c r="W241" s="208"/>
      <c r="X241" s="208"/>
      <c r="Y241" s="208"/>
      <c r="Z241" s="208"/>
    </row>
    <row r="242" ht="12.0" customHeight="1">
      <c r="M242" s="208"/>
      <c r="N242" s="208"/>
      <c r="O242" s="208"/>
      <c r="P242" s="208"/>
      <c r="Q242" s="208"/>
      <c r="R242" s="208"/>
      <c r="S242" s="208"/>
      <c r="T242" s="208"/>
      <c r="U242" s="208"/>
      <c r="V242" s="208"/>
      <c r="W242" s="208"/>
      <c r="X242" s="208"/>
      <c r="Y242" s="208"/>
      <c r="Z242" s="208"/>
    </row>
    <row r="243" ht="12.0" customHeight="1">
      <c r="M243" s="208"/>
      <c r="N243" s="208"/>
      <c r="O243" s="208"/>
      <c r="P243" s="208"/>
      <c r="Q243" s="208"/>
      <c r="R243" s="208"/>
      <c r="S243" s="208"/>
      <c r="T243" s="208"/>
      <c r="U243" s="208"/>
      <c r="V243" s="208"/>
      <c r="W243" s="208"/>
      <c r="X243" s="208"/>
      <c r="Y243" s="208"/>
      <c r="Z243" s="208"/>
    </row>
    <row r="244" ht="12.0" customHeight="1">
      <c r="M244" s="208"/>
      <c r="N244" s="208"/>
      <c r="O244" s="208"/>
      <c r="P244" s="208"/>
      <c r="Q244" s="208"/>
      <c r="R244" s="208"/>
      <c r="S244" s="208"/>
      <c r="T244" s="208"/>
      <c r="U244" s="208"/>
      <c r="V244" s="208"/>
      <c r="W244" s="208"/>
      <c r="X244" s="208"/>
      <c r="Y244" s="208"/>
      <c r="Z244" s="208"/>
    </row>
    <row r="245" ht="12.0" customHeight="1">
      <c r="M245" s="208"/>
      <c r="N245" s="208"/>
      <c r="O245" s="208"/>
      <c r="P245" s="208"/>
      <c r="Q245" s="208"/>
      <c r="R245" s="208"/>
      <c r="S245" s="208"/>
      <c r="T245" s="208"/>
      <c r="U245" s="208"/>
      <c r="V245" s="208"/>
      <c r="W245" s="208"/>
      <c r="X245" s="208"/>
      <c r="Y245" s="208"/>
      <c r="Z245" s="208"/>
    </row>
    <row r="246" ht="12.0" customHeight="1">
      <c r="M246" s="208"/>
      <c r="N246" s="208"/>
      <c r="O246" s="208"/>
      <c r="P246" s="208"/>
      <c r="Q246" s="208"/>
      <c r="R246" s="208"/>
      <c r="S246" s="208"/>
      <c r="T246" s="208"/>
      <c r="U246" s="208"/>
      <c r="V246" s="208"/>
      <c r="W246" s="208"/>
      <c r="X246" s="208"/>
      <c r="Y246" s="208"/>
      <c r="Z246" s="208"/>
    </row>
    <row r="247" ht="12.0" customHeight="1">
      <c r="M247" s="208"/>
      <c r="N247" s="208"/>
      <c r="O247" s="208"/>
      <c r="P247" s="208"/>
      <c r="Q247" s="208"/>
      <c r="R247" s="208"/>
      <c r="S247" s="208"/>
      <c r="T247" s="208"/>
      <c r="U247" s="208"/>
      <c r="V247" s="208"/>
      <c r="W247" s="208"/>
      <c r="X247" s="208"/>
      <c r="Y247" s="208"/>
      <c r="Z247" s="208"/>
    </row>
    <row r="248" ht="12.0" customHeight="1">
      <c r="M248" s="208"/>
      <c r="N248" s="208"/>
      <c r="O248" s="208"/>
      <c r="P248" s="208"/>
      <c r="Q248" s="208"/>
      <c r="R248" s="208"/>
      <c r="S248" s="208"/>
      <c r="T248" s="208"/>
      <c r="U248" s="208"/>
      <c r="V248" s="208"/>
      <c r="W248" s="208"/>
      <c r="X248" s="208"/>
      <c r="Y248" s="208"/>
      <c r="Z248" s="208"/>
    </row>
    <row r="249" ht="12.0" customHeight="1">
      <c r="M249" s="208"/>
      <c r="N249" s="208"/>
      <c r="O249" s="208"/>
      <c r="P249" s="208"/>
      <c r="Q249" s="208"/>
      <c r="R249" s="208"/>
      <c r="S249" s="208"/>
      <c r="T249" s="208"/>
      <c r="U249" s="208"/>
      <c r="V249" s="208"/>
      <c r="W249" s="208"/>
      <c r="X249" s="208"/>
      <c r="Y249" s="208"/>
      <c r="Z249" s="208"/>
    </row>
    <row r="250" ht="12.0" customHeight="1">
      <c r="M250" s="208"/>
      <c r="N250" s="208"/>
      <c r="O250" s="208"/>
      <c r="P250" s="208"/>
      <c r="Q250" s="208"/>
      <c r="R250" s="208"/>
      <c r="S250" s="208"/>
      <c r="T250" s="208"/>
      <c r="U250" s="208"/>
      <c r="V250" s="208"/>
      <c r="W250" s="208"/>
      <c r="X250" s="208"/>
      <c r="Y250" s="208"/>
      <c r="Z250" s="208"/>
    </row>
    <row r="251" ht="12.0" customHeight="1">
      <c r="M251" s="208"/>
      <c r="N251" s="208"/>
      <c r="O251" s="208"/>
      <c r="P251" s="208"/>
      <c r="Q251" s="208"/>
      <c r="R251" s="208"/>
      <c r="S251" s="208"/>
      <c r="T251" s="208"/>
      <c r="U251" s="208"/>
      <c r="V251" s="208"/>
      <c r="W251" s="208"/>
      <c r="X251" s="208"/>
      <c r="Y251" s="208"/>
      <c r="Z251" s="208"/>
    </row>
    <row r="252" ht="12.0" customHeight="1">
      <c r="M252" s="208"/>
      <c r="N252" s="208"/>
      <c r="O252" s="208"/>
      <c r="P252" s="208"/>
      <c r="Q252" s="208"/>
      <c r="R252" s="208"/>
      <c r="S252" s="208"/>
      <c r="T252" s="208"/>
      <c r="U252" s="208"/>
      <c r="V252" s="208"/>
      <c r="W252" s="208"/>
      <c r="X252" s="208"/>
      <c r="Y252" s="208"/>
      <c r="Z252" s="208"/>
    </row>
    <row r="253" ht="12.0" customHeight="1">
      <c r="M253" s="208"/>
      <c r="N253" s="208"/>
      <c r="O253" s="208"/>
      <c r="P253" s="208"/>
      <c r="Q253" s="208"/>
      <c r="R253" s="208"/>
      <c r="S253" s="208"/>
      <c r="T253" s="208"/>
      <c r="U253" s="208"/>
      <c r="V253" s="208"/>
      <c r="W253" s="208"/>
      <c r="X253" s="208"/>
      <c r="Y253" s="208"/>
      <c r="Z253" s="208"/>
    </row>
    <row r="254" ht="12.0" customHeight="1">
      <c r="M254" s="208"/>
      <c r="N254" s="208"/>
      <c r="O254" s="208"/>
      <c r="P254" s="208"/>
      <c r="Q254" s="208"/>
      <c r="R254" s="208"/>
      <c r="S254" s="208"/>
      <c r="T254" s="208"/>
      <c r="U254" s="208"/>
      <c r="V254" s="208"/>
      <c r="W254" s="208"/>
      <c r="X254" s="208"/>
      <c r="Y254" s="208"/>
      <c r="Z254" s="208"/>
    </row>
    <row r="255" ht="12.0" customHeight="1">
      <c r="M255" s="208"/>
      <c r="N255" s="208"/>
      <c r="O255" s="208"/>
      <c r="P255" s="208"/>
      <c r="Q255" s="208"/>
      <c r="R255" s="208"/>
      <c r="S255" s="208"/>
      <c r="T255" s="208"/>
      <c r="U255" s="208"/>
      <c r="V255" s="208"/>
      <c r="W255" s="208"/>
      <c r="X255" s="208"/>
      <c r="Y255" s="208"/>
      <c r="Z255" s="208"/>
    </row>
    <row r="256" ht="12.0" customHeight="1">
      <c r="M256" s="208"/>
      <c r="N256" s="208"/>
      <c r="O256" s="208"/>
      <c r="P256" s="208"/>
      <c r="Q256" s="208"/>
      <c r="R256" s="208"/>
      <c r="S256" s="208"/>
      <c r="T256" s="208"/>
      <c r="U256" s="208"/>
      <c r="V256" s="208"/>
      <c r="W256" s="208"/>
      <c r="X256" s="208"/>
      <c r="Y256" s="208"/>
      <c r="Z256" s="208"/>
    </row>
    <row r="257" ht="12.0" customHeight="1">
      <c r="M257" s="208"/>
      <c r="N257" s="208"/>
      <c r="O257" s="208"/>
      <c r="P257" s="208"/>
      <c r="Q257" s="208"/>
      <c r="R257" s="208"/>
      <c r="S257" s="208"/>
      <c r="T257" s="208"/>
      <c r="U257" s="208"/>
      <c r="V257" s="208"/>
      <c r="W257" s="208"/>
      <c r="X257" s="208"/>
      <c r="Y257" s="208"/>
      <c r="Z257" s="208"/>
    </row>
    <row r="258" ht="12.0" customHeight="1">
      <c r="M258" s="208"/>
      <c r="N258" s="208"/>
      <c r="O258" s="208"/>
      <c r="P258" s="208"/>
      <c r="Q258" s="208"/>
      <c r="R258" s="208"/>
      <c r="S258" s="208"/>
      <c r="T258" s="208"/>
      <c r="U258" s="208"/>
      <c r="V258" s="208"/>
      <c r="W258" s="208"/>
      <c r="X258" s="208"/>
      <c r="Y258" s="208"/>
      <c r="Z258" s="208"/>
    </row>
    <row r="259" ht="12.0" customHeight="1">
      <c r="M259" s="208"/>
      <c r="N259" s="208"/>
      <c r="O259" s="208"/>
      <c r="P259" s="208"/>
      <c r="Q259" s="208"/>
      <c r="R259" s="208"/>
      <c r="S259" s="208"/>
      <c r="T259" s="208"/>
      <c r="U259" s="208"/>
      <c r="V259" s="208"/>
      <c r="W259" s="208"/>
      <c r="X259" s="208"/>
      <c r="Y259" s="208"/>
      <c r="Z259" s="208"/>
    </row>
    <row r="260" ht="12.0" customHeight="1">
      <c r="M260" s="208"/>
      <c r="N260" s="208"/>
      <c r="O260" s="208"/>
      <c r="P260" s="208"/>
      <c r="Q260" s="208"/>
      <c r="R260" s="208"/>
      <c r="S260" s="208"/>
      <c r="T260" s="208"/>
      <c r="U260" s="208"/>
      <c r="V260" s="208"/>
      <c r="W260" s="208"/>
      <c r="X260" s="208"/>
      <c r="Y260" s="208"/>
      <c r="Z260" s="208"/>
    </row>
    <row r="261" ht="12.0" customHeight="1">
      <c r="M261" s="208"/>
      <c r="N261" s="208"/>
      <c r="O261" s="208"/>
      <c r="P261" s="208"/>
      <c r="Q261" s="208"/>
      <c r="R261" s="208"/>
      <c r="S261" s="208"/>
      <c r="T261" s="208"/>
      <c r="U261" s="208"/>
      <c r="V261" s="208"/>
      <c r="W261" s="208"/>
      <c r="X261" s="208"/>
      <c r="Y261" s="208"/>
      <c r="Z261" s="208"/>
    </row>
    <row r="262" ht="12.0" customHeight="1">
      <c r="M262" s="208"/>
      <c r="N262" s="208"/>
      <c r="O262" s="208"/>
      <c r="P262" s="208"/>
      <c r="Q262" s="208"/>
      <c r="R262" s="208"/>
      <c r="S262" s="208"/>
      <c r="T262" s="208"/>
      <c r="U262" s="208"/>
      <c r="V262" s="208"/>
      <c r="W262" s="208"/>
      <c r="X262" s="208"/>
      <c r="Y262" s="208"/>
      <c r="Z262" s="208"/>
    </row>
    <row r="263" ht="12.0" customHeight="1">
      <c r="M263" s="208"/>
      <c r="N263" s="208"/>
      <c r="O263" s="208"/>
      <c r="P263" s="208"/>
      <c r="Q263" s="208"/>
      <c r="R263" s="208"/>
      <c r="S263" s="208"/>
      <c r="T263" s="208"/>
      <c r="U263" s="208"/>
      <c r="V263" s="208"/>
      <c r="W263" s="208"/>
      <c r="X263" s="208"/>
      <c r="Y263" s="208"/>
      <c r="Z263" s="208"/>
    </row>
    <row r="264" ht="12.0" customHeight="1">
      <c r="M264" s="208"/>
      <c r="N264" s="208"/>
      <c r="O264" s="208"/>
      <c r="P264" s="208"/>
      <c r="Q264" s="208"/>
      <c r="R264" s="208"/>
      <c r="S264" s="208"/>
      <c r="T264" s="208"/>
      <c r="U264" s="208"/>
      <c r="V264" s="208"/>
      <c r="W264" s="208"/>
      <c r="X264" s="208"/>
      <c r="Y264" s="208"/>
      <c r="Z264" s="208"/>
    </row>
    <row r="265" ht="12.0" customHeight="1">
      <c r="M265" s="208"/>
      <c r="N265" s="208"/>
      <c r="O265" s="208"/>
      <c r="P265" s="208"/>
      <c r="Q265" s="208"/>
      <c r="R265" s="208"/>
      <c r="S265" s="208"/>
      <c r="T265" s="208"/>
      <c r="U265" s="208"/>
      <c r="V265" s="208"/>
      <c r="W265" s="208"/>
      <c r="X265" s="208"/>
      <c r="Y265" s="208"/>
      <c r="Z265" s="208"/>
    </row>
    <row r="266" ht="12.0" customHeight="1">
      <c r="M266" s="208"/>
      <c r="N266" s="208"/>
      <c r="O266" s="208"/>
      <c r="P266" s="208"/>
      <c r="Q266" s="208"/>
      <c r="R266" s="208"/>
      <c r="S266" s="208"/>
      <c r="T266" s="208"/>
      <c r="U266" s="208"/>
      <c r="V266" s="208"/>
      <c r="W266" s="208"/>
      <c r="X266" s="208"/>
      <c r="Y266" s="208"/>
      <c r="Z266" s="208"/>
    </row>
    <row r="267" ht="12.0" customHeight="1">
      <c r="M267" s="208"/>
      <c r="N267" s="208"/>
      <c r="O267" s="208"/>
      <c r="P267" s="208"/>
      <c r="Q267" s="208"/>
      <c r="R267" s="208"/>
      <c r="S267" s="208"/>
      <c r="T267" s="208"/>
      <c r="U267" s="208"/>
      <c r="V267" s="208"/>
      <c r="W267" s="208"/>
      <c r="X267" s="208"/>
      <c r="Y267" s="208"/>
      <c r="Z267" s="208"/>
    </row>
    <row r="268" ht="12.0" customHeight="1">
      <c r="L268" s="208"/>
      <c r="M268" s="208"/>
      <c r="N268" s="208"/>
      <c r="O268" s="208"/>
      <c r="P268" s="208"/>
      <c r="Q268" s="208"/>
      <c r="R268" s="208"/>
      <c r="S268" s="208"/>
      <c r="T268" s="208"/>
      <c r="U268" s="208"/>
      <c r="V268" s="208"/>
      <c r="W268" s="208"/>
      <c r="X268" s="208"/>
      <c r="Y268" s="208"/>
      <c r="Z268" s="208"/>
    </row>
    <row r="269" ht="12.0" customHeight="1">
      <c r="L269" s="208"/>
      <c r="M269" s="208"/>
      <c r="N269" s="208"/>
      <c r="O269" s="208"/>
      <c r="P269" s="208"/>
      <c r="Q269" s="208"/>
      <c r="R269" s="208"/>
      <c r="S269" s="208"/>
      <c r="T269" s="208"/>
      <c r="U269" s="208"/>
      <c r="V269" s="208"/>
      <c r="W269" s="208"/>
      <c r="X269" s="208"/>
      <c r="Y269" s="208"/>
      <c r="Z269" s="208"/>
    </row>
    <row r="270" ht="12.0" customHeight="1">
      <c r="L270" s="208"/>
      <c r="M270" s="208"/>
      <c r="N270" s="208"/>
      <c r="O270" s="208"/>
      <c r="P270" s="208"/>
      <c r="Q270" s="208"/>
      <c r="R270" s="208"/>
      <c r="S270" s="208"/>
      <c r="T270" s="208"/>
      <c r="U270" s="208"/>
      <c r="V270" s="208"/>
      <c r="W270" s="208"/>
      <c r="X270" s="208"/>
      <c r="Y270" s="208"/>
      <c r="Z270" s="208"/>
    </row>
    <row r="271" ht="12.0" customHeight="1">
      <c r="L271" s="208"/>
      <c r="M271" s="208"/>
      <c r="N271" s="208"/>
      <c r="O271" s="208"/>
      <c r="P271" s="208"/>
      <c r="Q271" s="208"/>
      <c r="R271" s="208"/>
      <c r="S271" s="208"/>
      <c r="T271" s="208"/>
      <c r="U271" s="208"/>
      <c r="V271" s="208"/>
      <c r="W271" s="208"/>
      <c r="X271" s="208"/>
      <c r="Y271" s="208"/>
      <c r="Z271" s="208"/>
    </row>
    <row r="272" ht="12.0" customHeight="1">
      <c r="L272" s="208"/>
      <c r="M272" s="208"/>
      <c r="N272" s="208"/>
      <c r="O272" s="208"/>
      <c r="P272" s="208"/>
      <c r="Q272" s="208"/>
      <c r="R272" s="208"/>
      <c r="S272" s="208"/>
      <c r="T272" s="208"/>
      <c r="U272" s="208"/>
      <c r="V272" s="208"/>
      <c r="W272" s="208"/>
      <c r="X272" s="208"/>
      <c r="Y272" s="208"/>
      <c r="Z272" s="208"/>
    </row>
    <row r="273" ht="12.0" customHeight="1">
      <c r="L273" s="208"/>
      <c r="M273" s="208"/>
      <c r="N273" s="208"/>
      <c r="O273" s="208"/>
      <c r="P273" s="208"/>
      <c r="Q273" s="208"/>
      <c r="R273" s="208"/>
      <c r="S273" s="208"/>
      <c r="T273" s="208"/>
      <c r="U273" s="208"/>
      <c r="V273" s="208"/>
      <c r="W273" s="208"/>
      <c r="X273" s="208"/>
      <c r="Y273" s="208"/>
      <c r="Z273" s="208"/>
    </row>
    <row r="274" ht="12.0" customHeight="1">
      <c r="L274" s="208"/>
      <c r="M274" s="208"/>
      <c r="N274" s="208"/>
      <c r="O274" s="208"/>
      <c r="P274" s="208"/>
      <c r="Q274" s="208"/>
      <c r="R274" s="208"/>
      <c r="S274" s="208"/>
      <c r="T274" s="208"/>
      <c r="U274" s="208"/>
      <c r="V274" s="208"/>
      <c r="W274" s="208"/>
      <c r="X274" s="208"/>
      <c r="Y274" s="208"/>
      <c r="Z274" s="208"/>
    </row>
    <row r="275" ht="12.0" customHeight="1">
      <c r="L275" s="208"/>
      <c r="M275" s="208"/>
      <c r="N275" s="208"/>
      <c r="O275" s="208"/>
      <c r="P275" s="208"/>
      <c r="Q275" s="208"/>
      <c r="R275" s="208"/>
      <c r="S275" s="208"/>
      <c r="T275" s="208"/>
      <c r="U275" s="208"/>
      <c r="V275" s="208"/>
      <c r="W275" s="208"/>
      <c r="X275" s="208"/>
      <c r="Y275" s="208"/>
      <c r="Z275" s="208"/>
    </row>
    <row r="276" ht="12.0" customHeight="1">
      <c r="L276" s="208"/>
      <c r="M276" s="208"/>
      <c r="N276" s="208"/>
      <c r="O276" s="208"/>
      <c r="P276" s="208"/>
      <c r="Q276" s="208"/>
      <c r="R276" s="208"/>
      <c r="S276" s="208"/>
      <c r="T276" s="208"/>
      <c r="U276" s="208"/>
      <c r="V276" s="208"/>
      <c r="W276" s="208"/>
      <c r="X276" s="208"/>
      <c r="Y276" s="208"/>
      <c r="Z276" s="208"/>
    </row>
    <row r="277" ht="12.0" customHeight="1">
      <c r="L277" s="208"/>
      <c r="M277" s="208"/>
      <c r="N277" s="208"/>
      <c r="O277" s="208"/>
      <c r="P277" s="208"/>
      <c r="Q277" s="208"/>
      <c r="R277" s="208"/>
      <c r="S277" s="208"/>
      <c r="T277" s="208"/>
      <c r="U277" s="208"/>
      <c r="V277" s="208"/>
      <c r="W277" s="208"/>
      <c r="X277" s="208"/>
      <c r="Y277" s="208"/>
      <c r="Z277" s="208"/>
    </row>
    <row r="278" ht="12.0" customHeight="1">
      <c r="L278" s="208"/>
      <c r="M278" s="208"/>
      <c r="N278" s="208"/>
      <c r="O278" s="208"/>
      <c r="P278" s="208"/>
      <c r="Q278" s="208"/>
      <c r="R278" s="208"/>
      <c r="S278" s="208"/>
      <c r="T278" s="208"/>
      <c r="U278" s="208"/>
      <c r="V278" s="208"/>
      <c r="W278" s="208"/>
      <c r="X278" s="208"/>
      <c r="Y278" s="208"/>
      <c r="Z278" s="208"/>
    </row>
    <row r="279" ht="12.0" customHeight="1">
      <c r="L279" s="208"/>
      <c r="M279" s="208"/>
      <c r="N279" s="208"/>
      <c r="O279" s="208"/>
      <c r="P279" s="208"/>
      <c r="Q279" s="208"/>
      <c r="R279" s="208"/>
      <c r="S279" s="208"/>
      <c r="T279" s="208"/>
      <c r="U279" s="208"/>
      <c r="V279" s="208"/>
      <c r="W279" s="208"/>
      <c r="X279" s="208"/>
      <c r="Y279" s="208"/>
      <c r="Z279" s="208"/>
    </row>
    <row r="280" ht="12.0" customHeight="1">
      <c r="L280" s="208"/>
      <c r="M280" s="208"/>
      <c r="N280" s="208"/>
      <c r="O280" s="208"/>
      <c r="P280" s="208"/>
      <c r="Q280" s="208"/>
      <c r="R280" s="208"/>
      <c r="S280" s="208"/>
      <c r="T280" s="208"/>
      <c r="U280" s="208"/>
      <c r="V280" s="208"/>
      <c r="W280" s="208"/>
      <c r="X280" s="208"/>
      <c r="Y280" s="208"/>
      <c r="Z280" s="208"/>
    </row>
    <row r="281" ht="12.0" customHeight="1">
      <c r="L281" s="208"/>
      <c r="M281" s="208"/>
      <c r="N281" s="208"/>
      <c r="O281" s="208"/>
      <c r="P281" s="208"/>
      <c r="Q281" s="208"/>
      <c r="R281" s="208"/>
      <c r="S281" s="208"/>
      <c r="T281" s="208"/>
      <c r="U281" s="208"/>
      <c r="V281" s="208"/>
      <c r="W281" s="208"/>
      <c r="X281" s="208"/>
      <c r="Y281" s="208"/>
      <c r="Z281" s="208"/>
    </row>
    <row r="282" ht="12.0" customHeight="1">
      <c r="L282" s="208"/>
      <c r="M282" s="208"/>
      <c r="N282" s="208"/>
      <c r="O282" s="208"/>
      <c r="P282" s="208"/>
      <c r="Q282" s="208"/>
      <c r="R282" s="208"/>
      <c r="S282" s="208"/>
      <c r="T282" s="208"/>
      <c r="U282" s="208"/>
      <c r="V282" s="208"/>
      <c r="W282" s="208"/>
      <c r="X282" s="208"/>
      <c r="Y282" s="208"/>
      <c r="Z282" s="208"/>
    </row>
    <row r="283" ht="12.0" customHeight="1">
      <c r="L283" s="208"/>
      <c r="M283" s="208"/>
      <c r="N283" s="208"/>
      <c r="O283" s="208"/>
      <c r="P283" s="208"/>
      <c r="Q283" s="208"/>
      <c r="R283" s="208"/>
      <c r="S283" s="208"/>
      <c r="T283" s="208"/>
      <c r="U283" s="208"/>
      <c r="V283" s="208"/>
      <c r="W283" s="208"/>
      <c r="X283" s="208"/>
      <c r="Y283" s="208"/>
      <c r="Z283" s="208"/>
    </row>
    <row r="284" ht="12.0" customHeight="1">
      <c r="L284" s="208"/>
      <c r="M284" s="208"/>
      <c r="N284" s="208"/>
      <c r="O284" s="208"/>
      <c r="P284" s="208"/>
      <c r="Q284" s="208"/>
      <c r="R284" s="208"/>
      <c r="S284" s="208"/>
      <c r="T284" s="208"/>
      <c r="U284" s="208"/>
      <c r="V284" s="208"/>
      <c r="W284" s="208"/>
      <c r="X284" s="208"/>
      <c r="Y284" s="208"/>
      <c r="Z284" s="208"/>
    </row>
    <row r="285" ht="12.0" customHeight="1">
      <c r="L285" s="208"/>
      <c r="M285" s="208"/>
      <c r="N285" s="208"/>
      <c r="O285" s="208"/>
      <c r="P285" s="208"/>
      <c r="Q285" s="208"/>
      <c r="R285" s="208"/>
      <c r="S285" s="208"/>
      <c r="T285" s="208"/>
      <c r="U285" s="208"/>
      <c r="V285" s="208"/>
      <c r="W285" s="208"/>
      <c r="X285" s="208"/>
      <c r="Y285" s="208"/>
      <c r="Z285" s="208"/>
    </row>
    <row r="286" ht="12.0" customHeight="1">
      <c r="L286" s="208"/>
      <c r="M286" s="208"/>
      <c r="N286" s="208"/>
      <c r="O286" s="208"/>
      <c r="P286" s="208"/>
      <c r="Q286" s="208"/>
      <c r="R286" s="208"/>
      <c r="S286" s="208"/>
      <c r="T286" s="208"/>
      <c r="U286" s="208"/>
      <c r="V286" s="208"/>
      <c r="W286" s="208"/>
      <c r="X286" s="208"/>
      <c r="Y286" s="208"/>
      <c r="Z286" s="208"/>
    </row>
    <row r="287" ht="12.0" customHeight="1">
      <c r="L287" s="208"/>
      <c r="M287" s="208"/>
      <c r="N287" s="208"/>
      <c r="O287" s="208"/>
      <c r="P287" s="208"/>
      <c r="Q287" s="208"/>
      <c r="R287" s="208"/>
      <c r="S287" s="208"/>
      <c r="T287" s="208"/>
      <c r="U287" s="208"/>
      <c r="V287" s="208"/>
      <c r="W287" s="208"/>
      <c r="X287" s="208"/>
      <c r="Y287" s="208"/>
      <c r="Z287" s="208"/>
    </row>
    <row r="288" ht="12.0" customHeight="1">
      <c r="L288" s="208"/>
      <c r="M288" s="208"/>
      <c r="N288" s="208"/>
      <c r="O288" s="208"/>
      <c r="P288" s="208"/>
      <c r="Q288" s="208"/>
      <c r="R288" s="208"/>
      <c r="S288" s="208"/>
      <c r="T288" s="208"/>
      <c r="U288" s="208"/>
      <c r="V288" s="208"/>
      <c r="W288" s="208"/>
      <c r="X288" s="208"/>
      <c r="Y288" s="208"/>
      <c r="Z288" s="208"/>
    </row>
    <row r="289" ht="12.0" customHeight="1">
      <c r="L289" s="208"/>
      <c r="M289" s="208"/>
      <c r="N289" s="208"/>
      <c r="O289" s="208"/>
      <c r="P289" s="208"/>
      <c r="Q289" s="208"/>
      <c r="R289" s="208"/>
      <c r="S289" s="208"/>
      <c r="T289" s="208"/>
      <c r="U289" s="208"/>
      <c r="V289" s="208"/>
      <c r="W289" s="208"/>
      <c r="X289" s="208"/>
      <c r="Y289" s="208"/>
      <c r="Z289" s="208"/>
    </row>
    <row r="290" ht="12.0" customHeight="1">
      <c r="L290" s="208"/>
      <c r="M290" s="208"/>
      <c r="N290" s="208"/>
      <c r="O290" s="208"/>
      <c r="P290" s="208"/>
      <c r="Q290" s="208"/>
      <c r="R290" s="208"/>
      <c r="S290" s="208"/>
      <c r="T290" s="208"/>
      <c r="U290" s="208"/>
      <c r="V290" s="208"/>
      <c r="W290" s="208"/>
      <c r="X290" s="208"/>
      <c r="Y290" s="208"/>
      <c r="Z290" s="208"/>
    </row>
    <row r="291" ht="12.0" customHeight="1">
      <c r="L291" s="208"/>
      <c r="M291" s="208"/>
      <c r="N291" s="208"/>
      <c r="O291" s="208"/>
      <c r="P291" s="208"/>
      <c r="Q291" s="208"/>
      <c r="R291" s="208"/>
      <c r="S291" s="208"/>
      <c r="T291" s="208"/>
      <c r="U291" s="208"/>
      <c r="V291" s="208"/>
      <c r="W291" s="208"/>
      <c r="X291" s="208"/>
      <c r="Y291" s="208"/>
      <c r="Z291" s="208"/>
    </row>
    <row r="292" ht="12.0" customHeight="1">
      <c r="L292" s="208"/>
      <c r="M292" s="208"/>
      <c r="N292" s="208"/>
      <c r="O292" s="208"/>
      <c r="P292" s="208"/>
      <c r="Q292" s="208"/>
      <c r="R292" s="208"/>
      <c r="S292" s="208"/>
      <c r="T292" s="208"/>
      <c r="U292" s="208"/>
      <c r="V292" s="208"/>
      <c r="W292" s="208"/>
      <c r="X292" s="208"/>
      <c r="Y292" s="208"/>
      <c r="Z292" s="208"/>
    </row>
    <row r="293" ht="12.0" customHeight="1">
      <c r="L293" s="208"/>
      <c r="M293" s="208"/>
      <c r="N293" s="208"/>
      <c r="O293" s="208"/>
      <c r="P293" s="208"/>
      <c r="Q293" s="208"/>
      <c r="R293" s="208"/>
      <c r="S293" s="208"/>
      <c r="T293" s="208"/>
      <c r="U293" s="208"/>
      <c r="V293" s="208"/>
      <c r="W293" s="208"/>
      <c r="X293" s="208"/>
      <c r="Y293" s="208"/>
      <c r="Z293" s="208"/>
    </row>
    <row r="294" ht="12.0" customHeight="1">
      <c r="L294" s="208"/>
      <c r="M294" s="208"/>
      <c r="N294" s="208"/>
      <c r="O294" s="208"/>
      <c r="P294" s="208"/>
      <c r="Q294" s="208"/>
      <c r="R294" s="208"/>
      <c r="S294" s="208"/>
      <c r="T294" s="208"/>
      <c r="U294" s="208"/>
      <c r="V294" s="208"/>
      <c r="W294" s="208"/>
      <c r="X294" s="208"/>
      <c r="Y294" s="208"/>
      <c r="Z294" s="208"/>
    </row>
    <row r="295" ht="12.0" customHeight="1">
      <c r="A295" s="208"/>
      <c r="B295" s="208"/>
      <c r="C295" s="208"/>
      <c r="D295" s="208"/>
      <c r="E295" s="208"/>
      <c r="F295" s="208"/>
      <c r="G295" s="208"/>
      <c r="H295" s="208"/>
      <c r="I295" s="208"/>
      <c r="J295" s="208"/>
      <c r="K295" s="208"/>
      <c r="L295" s="208"/>
      <c r="M295" s="208"/>
      <c r="N295" s="208"/>
      <c r="O295" s="208"/>
      <c r="P295" s="208"/>
      <c r="Q295" s="208"/>
      <c r="R295" s="208"/>
      <c r="S295" s="208"/>
      <c r="T295" s="208"/>
      <c r="U295" s="208"/>
      <c r="V295" s="208"/>
      <c r="W295" s="208"/>
      <c r="X295" s="208"/>
      <c r="Y295" s="208"/>
      <c r="Z295" s="208"/>
    </row>
    <row r="296" ht="12.0" customHeight="1">
      <c r="A296" s="208"/>
      <c r="B296" s="208"/>
      <c r="C296" s="208"/>
      <c r="D296" s="208"/>
      <c r="E296" s="208"/>
      <c r="F296" s="208"/>
      <c r="G296" s="208"/>
      <c r="H296" s="208"/>
      <c r="I296" s="208"/>
      <c r="J296" s="208"/>
      <c r="K296" s="208"/>
      <c r="L296" s="208"/>
      <c r="M296" s="208"/>
      <c r="N296" s="208"/>
      <c r="O296" s="208"/>
      <c r="P296" s="208"/>
      <c r="Q296" s="208"/>
      <c r="R296" s="208"/>
      <c r="S296" s="208"/>
      <c r="T296" s="208"/>
      <c r="U296" s="208"/>
      <c r="V296" s="208"/>
      <c r="W296" s="208"/>
      <c r="X296" s="208"/>
      <c r="Y296" s="208"/>
      <c r="Z296" s="208"/>
    </row>
    <row r="297" ht="12.0" customHeight="1">
      <c r="A297" s="208"/>
      <c r="B297" s="208"/>
      <c r="C297" s="208"/>
      <c r="D297" s="208"/>
      <c r="E297" s="208"/>
      <c r="F297" s="208"/>
      <c r="G297" s="208"/>
      <c r="H297" s="208"/>
      <c r="I297" s="208"/>
      <c r="J297" s="208"/>
      <c r="K297" s="208"/>
      <c r="L297" s="208"/>
      <c r="M297" s="208"/>
      <c r="N297" s="208"/>
      <c r="O297" s="208"/>
      <c r="P297" s="208"/>
      <c r="Q297" s="208"/>
      <c r="R297" s="208"/>
      <c r="S297" s="208"/>
      <c r="T297" s="208"/>
      <c r="U297" s="208"/>
      <c r="V297" s="208"/>
      <c r="W297" s="208"/>
      <c r="X297" s="208"/>
      <c r="Y297" s="208"/>
      <c r="Z297" s="208"/>
    </row>
    <row r="298" ht="12.0" customHeight="1">
      <c r="A298" s="208"/>
      <c r="B298" s="208"/>
      <c r="C298" s="208"/>
      <c r="D298" s="208"/>
      <c r="E298" s="208"/>
      <c r="F298" s="208"/>
      <c r="G298" s="208"/>
      <c r="H298" s="208"/>
      <c r="I298" s="208"/>
      <c r="J298" s="208"/>
      <c r="K298" s="208"/>
      <c r="L298" s="208"/>
      <c r="M298" s="208"/>
      <c r="N298" s="208"/>
      <c r="O298" s="208"/>
      <c r="P298" s="208"/>
      <c r="Q298" s="208"/>
      <c r="R298" s="208"/>
      <c r="S298" s="208"/>
      <c r="T298" s="208"/>
      <c r="U298" s="208"/>
      <c r="V298" s="208"/>
      <c r="W298" s="208"/>
      <c r="X298" s="208"/>
      <c r="Y298" s="208"/>
      <c r="Z298" s="208"/>
    </row>
    <row r="299" ht="12.0" customHeight="1">
      <c r="A299" s="208"/>
      <c r="B299" s="208"/>
      <c r="C299" s="208"/>
      <c r="D299" s="208"/>
      <c r="E299" s="208"/>
      <c r="F299" s="208"/>
      <c r="G299" s="208"/>
      <c r="H299" s="208"/>
      <c r="I299" s="208"/>
      <c r="J299" s="208"/>
      <c r="K299" s="208"/>
      <c r="L299" s="208"/>
      <c r="M299" s="208"/>
      <c r="N299" s="208"/>
      <c r="O299" s="208"/>
      <c r="P299" s="208"/>
      <c r="Q299" s="208"/>
      <c r="R299" s="208"/>
      <c r="S299" s="208"/>
      <c r="T299" s="208"/>
      <c r="U299" s="208"/>
      <c r="V299" s="208"/>
      <c r="W299" s="208"/>
      <c r="X299" s="208"/>
      <c r="Y299" s="208"/>
      <c r="Z299" s="208"/>
    </row>
    <row r="300" ht="12.0" customHeight="1">
      <c r="A300" s="208"/>
      <c r="B300" s="208"/>
      <c r="C300" s="208"/>
      <c r="D300" s="208"/>
      <c r="E300" s="208"/>
      <c r="F300" s="208"/>
      <c r="G300" s="208"/>
      <c r="H300" s="208"/>
      <c r="I300" s="208"/>
      <c r="J300" s="208"/>
      <c r="K300" s="208"/>
      <c r="L300" s="208"/>
      <c r="M300" s="208"/>
      <c r="N300" s="208"/>
      <c r="O300" s="208"/>
      <c r="P300" s="208"/>
      <c r="Q300" s="208"/>
      <c r="R300" s="208"/>
      <c r="S300" s="208"/>
      <c r="T300" s="208"/>
      <c r="U300" s="208"/>
      <c r="V300" s="208"/>
      <c r="W300" s="208"/>
      <c r="X300" s="208"/>
      <c r="Y300" s="208"/>
      <c r="Z300" s="208"/>
    </row>
    <row r="301" ht="12.0" customHeight="1">
      <c r="A301" s="208"/>
      <c r="B301" s="208"/>
      <c r="C301" s="208"/>
      <c r="D301" s="208"/>
      <c r="E301" s="208"/>
      <c r="F301" s="208"/>
      <c r="G301" s="208"/>
      <c r="H301" s="208"/>
      <c r="I301" s="208"/>
      <c r="J301" s="208"/>
      <c r="K301" s="208"/>
      <c r="L301" s="208"/>
      <c r="M301" s="208"/>
      <c r="N301" s="208"/>
      <c r="O301" s="208"/>
      <c r="P301" s="208"/>
      <c r="Q301" s="208"/>
      <c r="R301" s="208"/>
      <c r="S301" s="208"/>
      <c r="T301" s="208"/>
      <c r="U301" s="208"/>
      <c r="V301" s="208"/>
      <c r="W301" s="208"/>
      <c r="X301" s="208"/>
      <c r="Y301" s="208"/>
      <c r="Z301" s="208"/>
    </row>
    <row r="302" ht="12.0" customHeight="1">
      <c r="A302" s="208"/>
      <c r="B302" s="208"/>
      <c r="C302" s="208"/>
      <c r="D302" s="208"/>
      <c r="E302" s="208"/>
      <c r="F302" s="208"/>
      <c r="G302" s="208"/>
      <c r="H302" s="208"/>
      <c r="I302" s="208"/>
      <c r="J302" s="208"/>
      <c r="K302" s="208"/>
      <c r="L302" s="208"/>
      <c r="M302" s="208"/>
      <c r="N302" s="208"/>
      <c r="O302" s="208"/>
      <c r="P302" s="208"/>
      <c r="Q302" s="208"/>
      <c r="R302" s="208"/>
      <c r="S302" s="208"/>
      <c r="T302" s="208"/>
      <c r="U302" s="208"/>
      <c r="V302" s="208"/>
      <c r="W302" s="208"/>
      <c r="X302" s="208"/>
      <c r="Y302" s="208"/>
      <c r="Z302" s="208"/>
    </row>
    <row r="303" ht="12.0" customHeight="1">
      <c r="A303" s="208"/>
      <c r="B303" s="208"/>
      <c r="C303" s="208"/>
      <c r="D303" s="208"/>
      <c r="E303" s="208"/>
      <c r="F303" s="208"/>
      <c r="G303" s="208"/>
      <c r="H303" s="208"/>
      <c r="I303" s="208"/>
      <c r="J303" s="208"/>
      <c r="K303" s="208"/>
      <c r="L303" s="208"/>
      <c r="M303" s="208"/>
      <c r="N303" s="208"/>
      <c r="O303" s="208"/>
      <c r="P303" s="208"/>
      <c r="Q303" s="208"/>
      <c r="R303" s="208"/>
      <c r="S303" s="208"/>
      <c r="T303" s="208"/>
      <c r="U303" s="208"/>
      <c r="V303" s="208"/>
      <c r="W303" s="208"/>
      <c r="X303" s="208"/>
      <c r="Y303" s="208"/>
      <c r="Z303" s="208"/>
    </row>
    <row r="304" ht="12.0" customHeight="1">
      <c r="A304" s="208"/>
      <c r="B304" s="208"/>
      <c r="C304" s="208"/>
      <c r="D304" s="208"/>
      <c r="E304" s="208"/>
      <c r="F304" s="208"/>
      <c r="G304" s="208"/>
      <c r="H304" s="208"/>
      <c r="I304" s="208"/>
      <c r="J304" s="208"/>
      <c r="K304" s="208"/>
      <c r="L304" s="208"/>
      <c r="M304" s="208"/>
      <c r="N304" s="208"/>
      <c r="O304" s="208"/>
      <c r="P304" s="208"/>
      <c r="Q304" s="208"/>
      <c r="R304" s="208"/>
      <c r="S304" s="208"/>
      <c r="T304" s="208"/>
      <c r="U304" s="208"/>
      <c r="V304" s="208"/>
      <c r="W304" s="208"/>
      <c r="X304" s="208"/>
      <c r="Y304" s="208"/>
      <c r="Z304" s="208"/>
    </row>
    <row r="305" ht="12.0" customHeight="1">
      <c r="A305" s="208"/>
      <c r="B305" s="208"/>
      <c r="C305" s="208"/>
      <c r="D305" s="208"/>
      <c r="E305" s="208"/>
      <c r="F305" s="208"/>
      <c r="G305" s="208"/>
      <c r="H305" s="208"/>
      <c r="I305" s="208"/>
      <c r="J305" s="208"/>
      <c r="K305" s="208"/>
      <c r="L305" s="208"/>
      <c r="M305" s="208"/>
      <c r="N305" s="208"/>
      <c r="O305" s="208"/>
      <c r="P305" s="208"/>
      <c r="Q305" s="208"/>
      <c r="R305" s="208"/>
      <c r="S305" s="208"/>
      <c r="T305" s="208"/>
      <c r="U305" s="208"/>
      <c r="V305" s="208"/>
      <c r="W305" s="208"/>
      <c r="X305" s="208"/>
      <c r="Y305" s="208"/>
      <c r="Z305" s="208"/>
    </row>
    <row r="306" ht="12.0" customHeight="1">
      <c r="A306" s="208"/>
      <c r="B306" s="208"/>
      <c r="C306" s="208"/>
      <c r="D306" s="208"/>
      <c r="E306" s="208"/>
      <c r="F306" s="208"/>
      <c r="G306" s="208"/>
      <c r="H306" s="208"/>
      <c r="I306" s="208"/>
      <c r="J306" s="208"/>
      <c r="K306" s="208"/>
      <c r="L306" s="208"/>
      <c r="M306" s="208"/>
      <c r="N306" s="208"/>
      <c r="O306" s="208"/>
      <c r="P306" s="208"/>
      <c r="Q306" s="208"/>
      <c r="R306" s="208"/>
      <c r="S306" s="208"/>
      <c r="T306" s="208"/>
      <c r="U306" s="208"/>
      <c r="V306" s="208"/>
      <c r="W306" s="208"/>
      <c r="X306" s="208"/>
      <c r="Y306" s="208"/>
      <c r="Z306" s="208"/>
    </row>
    <row r="307" ht="12.0" customHeight="1">
      <c r="A307" s="208"/>
      <c r="B307" s="208"/>
      <c r="C307" s="208"/>
      <c r="D307" s="208"/>
      <c r="E307" s="208"/>
      <c r="F307" s="208"/>
      <c r="G307" s="208"/>
      <c r="H307" s="208"/>
      <c r="I307" s="208"/>
      <c r="J307" s="208"/>
      <c r="K307" s="208"/>
      <c r="L307" s="208"/>
      <c r="M307" s="208"/>
      <c r="N307" s="208"/>
      <c r="O307" s="208"/>
      <c r="P307" s="208"/>
      <c r="Q307" s="208"/>
      <c r="R307" s="208"/>
      <c r="S307" s="208"/>
      <c r="T307" s="208"/>
      <c r="U307" s="208"/>
      <c r="V307" s="208"/>
      <c r="W307" s="208"/>
      <c r="X307" s="208"/>
      <c r="Y307" s="208"/>
      <c r="Z307" s="208"/>
    </row>
    <row r="308" ht="12.0" customHeight="1">
      <c r="A308" s="208"/>
      <c r="B308" s="208"/>
      <c r="C308" s="208"/>
      <c r="D308" s="208"/>
      <c r="E308" s="208"/>
      <c r="F308" s="208"/>
      <c r="G308" s="208"/>
      <c r="H308" s="208"/>
      <c r="I308" s="208"/>
      <c r="J308" s="208"/>
      <c r="K308" s="208"/>
      <c r="L308" s="208"/>
      <c r="M308" s="208"/>
      <c r="N308" s="208"/>
      <c r="O308" s="208"/>
      <c r="P308" s="208"/>
      <c r="Q308" s="208"/>
      <c r="R308" s="208"/>
      <c r="S308" s="208"/>
      <c r="T308" s="208"/>
      <c r="U308" s="208"/>
      <c r="V308" s="208"/>
      <c r="W308" s="208"/>
      <c r="X308" s="208"/>
      <c r="Y308" s="208"/>
      <c r="Z308" s="208"/>
    </row>
    <row r="309" ht="12.0" customHeight="1">
      <c r="A309" s="208"/>
      <c r="B309" s="208"/>
      <c r="C309" s="208"/>
      <c r="D309" s="208"/>
      <c r="E309" s="208"/>
      <c r="F309" s="208"/>
      <c r="G309" s="208"/>
      <c r="H309" s="208"/>
      <c r="I309" s="208"/>
      <c r="J309" s="208"/>
      <c r="K309" s="208"/>
      <c r="L309" s="208"/>
      <c r="M309" s="208"/>
      <c r="N309" s="208"/>
      <c r="O309" s="208"/>
      <c r="P309" s="208"/>
      <c r="Q309" s="208"/>
      <c r="R309" s="208"/>
      <c r="S309" s="208"/>
      <c r="T309" s="208"/>
      <c r="U309" s="208"/>
      <c r="V309" s="208"/>
      <c r="W309" s="208"/>
      <c r="X309" s="208"/>
      <c r="Y309" s="208"/>
      <c r="Z309" s="208"/>
    </row>
    <row r="310" ht="12.0" customHeight="1">
      <c r="A310" s="208"/>
      <c r="B310" s="208"/>
      <c r="C310" s="208"/>
      <c r="D310" s="208"/>
      <c r="E310" s="208"/>
      <c r="F310" s="208"/>
      <c r="G310" s="208"/>
      <c r="H310" s="208"/>
      <c r="I310" s="208"/>
      <c r="J310" s="208"/>
      <c r="K310" s="208"/>
      <c r="L310" s="208"/>
      <c r="M310" s="208"/>
      <c r="N310" s="208"/>
      <c r="O310" s="208"/>
      <c r="P310" s="208"/>
      <c r="Q310" s="208"/>
      <c r="R310" s="208"/>
      <c r="S310" s="208"/>
      <c r="T310" s="208"/>
      <c r="U310" s="208"/>
      <c r="V310" s="208"/>
      <c r="W310" s="208"/>
      <c r="X310" s="208"/>
      <c r="Y310" s="208"/>
      <c r="Z310" s="208"/>
    </row>
    <row r="311" ht="12.0" customHeight="1">
      <c r="A311" s="208"/>
      <c r="B311" s="208"/>
      <c r="C311" s="208"/>
      <c r="D311" s="208"/>
      <c r="E311" s="208"/>
      <c r="F311" s="208"/>
      <c r="G311" s="208"/>
      <c r="H311" s="208"/>
      <c r="I311" s="208"/>
      <c r="J311" s="208"/>
      <c r="K311" s="208"/>
      <c r="L311" s="208"/>
      <c r="M311" s="208"/>
      <c r="N311" s="208"/>
      <c r="O311" s="208"/>
      <c r="P311" s="208"/>
      <c r="Q311" s="208"/>
      <c r="R311" s="208"/>
      <c r="S311" s="208"/>
      <c r="T311" s="208"/>
      <c r="U311" s="208"/>
      <c r="V311" s="208"/>
      <c r="W311" s="208"/>
      <c r="X311" s="208"/>
      <c r="Y311" s="208"/>
      <c r="Z311" s="208"/>
    </row>
    <row r="312" ht="12.0" customHeight="1">
      <c r="A312" s="208"/>
      <c r="B312" s="208"/>
      <c r="C312" s="208"/>
      <c r="D312" s="208"/>
      <c r="E312" s="208"/>
      <c r="F312" s="208"/>
      <c r="G312" s="208"/>
      <c r="H312" s="208"/>
      <c r="I312" s="208"/>
      <c r="J312" s="208"/>
      <c r="K312" s="208"/>
      <c r="L312" s="208"/>
      <c r="M312" s="208"/>
      <c r="N312" s="208"/>
      <c r="O312" s="208"/>
      <c r="P312" s="208"/>
      <c r="Q312" s="208"/>
      <c r="R312" s="208"/>
      <c r="S312" s="208"/>
      <c r="T312" s="208"/>
      <c r="U312" s="208"/>
      <c r="V312" s="208"/>
      <c r="W312" s="208"/>
      <c r="X312" s="208"/>
      <c r="Y312" s="208"/>
      <c r="Z312" s="208"/>
    </row>
    <row r="313" ht="12.0" customHeight="1">
      <c r="A313" s="208"/>
      <c r="B313" s="208"/>
      <c r="C313" s="208"/>
      <c r="D313" s="208"/>
      <c r="E313" s="208"/>
      <c r="F313" s="208"/>
      <c r="G313" s="208"/>
      <c r="H313" s="208"/>
      <c r="I313" s="208"/>
      <c r="J313" s="208"/>
      <c r="K313" s="208"/>
      <c r="L313" s="208"/>
      <c r="M313" s="208"/>
      <c r="N313" s="208"/>
      <c r="O313" s="208"/>
      <c r="P313" s="208"/>
      <c r="Q313" s="208"/>
      <c r="R313" s="208"/>
      <c r="S313" s="208"/>
      <c r="T313" s="208"/>
      <c r="U313" s="208"/>
      <c r="V313" s="208"/>
      <c r="W313" s="208"/>
      <c r="X313" s="208"/>
      <c r="Y313" s="208"/>
      <c r="Z313" s="208"/>
    </row>
    <row r="314" ht="12.0" customHeight="1">
      <c r="A314" s="208"/>
      <c r="B314" s="208"/>
      <c r="C314" s="208"/>
      <c r="D314" s="208"/>
      <c r="E314" s="208"/>
      <c r="F314" s="208"/>
      <c r="G314" s="208"/>
      <c r="H314" s="208"/>
      <c r="I314" s="208"/>
      <c r="J314" s="208"/>
      <c r="K314" s="208"/>
      <c r="L314" s="208"/>
      <c r="M314" s="208"/>
      <c r="N314" s="208"/>
      <c r="O314" s="208"/>
      <c r="P314" s="208"/>
      <c r="Q314" s="208"/>
      <c r="R314" s="208"/>
      <c r="S314" s="208"/>
      <c r="T314" s="208"/>
      <c r="U314" s="208"/>
      <c r="V314" s="208"/>
      <c r="W314" s="208"/>
      <c r="X314" s="208"/>
      <c r="Y314" s="208"/>
      <c r="Z314" s="208"/>
    </row>
    <row r="315" ht="12.0" customHeight="1">
      <c r="A315" s="208"/>
      <c r="B315" s="208"/>
      <c r="C315" s="208"/>
      <c r="D315" s="208"/>
      <c r="E315" s="208"/>
      <c r="F315" s="208"/>
      <c r="G315" s="208"/>
      <c r="H315" s="208"/>
      <c r="I315" s="208"/>
      <c r="J315" s="208"/>
      <c r="K315" s="208"/>
      <c r="L315" s="208"/>
      <c r="M315" s="208"/>
      <c r="N315" s="208"/>
      <c r="O315" s="208"/>
      <c r="P315" s="208"/>
      <c r="Q315" s="208"/>
      <c r="R315" s="208"/>
      <c r="S315" s="208"/>
      <c r="T315" s="208"/>
      <c r="U315" s="208"/>
      <c r="V315" s="208"/>
      <c r="W315" s="208"/>
      <c r="X315" s="208"/>
      <c r="Y315" s="208"/>
      <c r="Z315" s="208"/>
    </row>
    <row r="316" ht="12.0" customHeight="1">
      <c r="A316" s="208"/>
      <c r="B316" s="208"/>
      <c r="C316" s="208"/>
      <c r="D316" s="208"/>
      <c r="E316" s="208"/>
      <c r="F316" s="208"/>
      <c r="G316" s="208"/>
      <c r="H316" s="208"/>
      <c r="I316" s="208"/>
      <c r="J316" s="208"/>
      <c r="K316" s="208"/>
      <c r="L316" s="208"/>
      <c r="M316" s="208"/>
      <c r="N316" s="208"/>
      <c r="O316" s="208"/>
      <c r="P316" s="208"/>
      <c r="Q316" s="208"/>
      <c r="R316" s="208"/>
      <c r="S316" s="208"/>
      <c r="T316" s="208"/>
      <c r="U316" s="208"/>
      <c r="V316" s="208"/>
      <c r="W316" s="208"/>
      <c r="X316" s="208"/>
      <c r="Y316" s="208"/>
      <c r="Z316" s="208"/>
    </row>
    <row r="317" ht="12.0" customHeight="1">
      <c r="A317" s="208"/>
      <c r="B317" s="208"/>
      <c r="C317" s="208"/>
      <c r="D317" s="208"/>
      <c r="E317" s="208"/>
      <c r="F317" s="208"/>
      <c r="G317" s="208"/>
      <c r="H317" s="208"/>
      <c r="I317" s="208"/>
      <c r="J317" s="208"/>
      <c r="K317" s="208"/>
      <c r="L317" s="208"/>
      <c r="M317" s="208"/>
      <c r="N317" s="208"/>
      <c r="O317" s="208"/>
      <c r="P317" s="208"/>
      <c r="Q317" s="208"/>
      <c r="R317" s="208"/>
      <c r="S317" s="208"/>
      <c r="T317" s="208"/>
      <c r="U317" s="208"/>
      <c r="V317" s="208"/>
      <c r="W317" s="208"/>
      <c r="X317" s="208"/>
      <c r="Y317" s="208"/>
      <c r="Z317" s="208"/>
    </row>
    <row r="318" ht="12.0" customHeight="1">
      <c r="A318" s="208"/>
      <c r="B318" s="208"/>
      <c r="C318" s="208"/>
      <c r="D318" s="208"/>
      <c r="E318" s="208"/>
      <c r="F318" s="208"/>
      <c r="G318" s="208"/>
      <c r="H318" s="208"/>
      <c r="I318" s="208"/>
      <c r="J318" s="208"/>
      <c r="K318" s="208"/>
      <c r="L318" s="208"/>
      <c r="M318" s="208"/>
      <c r="N318" s="208"/>
      <c r="O318" s="208"/>
      <c r="P318" s="208"/>
      <c r="Q318" s="208"/>
      <c r="R318" s="208"/>
      <c r="S318" s="208"/>
      <c r="T318" s="208"/>
      <c r="U318" s="208"/>
      <c r="V318" s="208"/>
      <c r="W318" s="208"/>
      <c r="X318" s="208"/>
      <c r="Y318" s="208"/>
      <c r="Z318" s="208"/>
    </row>
    <row r="319" ht="12.0" customHeight="1">
      <c r="A319" s="208"/>
      <c r="B319" s="208"/>
      <c r="C319" s="208"/>
      <c r="D319" s="208"/>
      <c r="E319" s="208"/>
      <c r="F319" s="208"/>
      <c r="G319" s="208"/>
      <c r="H319" s="208"/>
      <c r="I319" s="208"/>
      <c r="J319" s="208"/>
      <c r="K319" s="208"/>
      <c r="L319" s="208"/>
      <c r="M319" s="208"/>
      <c r="N319" s="208"/>
      <c r="O319" s="208"/>
      <c r="P319" s="208"/>
      <c r="Q319" s="208"/>
      <c r="R319" s="208"/>
      <c r="S319" s="208"/>
      <c r="T319" s="208"/>
      <c r="U319" s="208"/>
      <c r="V319" s="208"/>
      <c r="W319" s="208"/>
      <c r="X319" s="208"/>
      <c r="Y319" s="208"/>
      <c r="Z319" s="208"/>
    </row>
    <row r="320" ht="12.0" customHeight="1">
      <c r="A320" s="208"/>
      <c r="B320" s="208"/>
      <c r="C320" s="208"/>
      <c r="D320" s="208"/>
      <c r="E320" s="208"/>
      <c r="F320" s="208"/>
      <c r="G320" s="208"/>
      <c r="H320" s="208"/>
      <c r="I320" s="208"/>
      <c r="J320" s="208"/>
      <c r="K320" s="208"/>
      <c r="L320" s="208"/>
      <c r="M320" s="208"/>
      <c r="N320" s="208"/>
      <c r="O320" s="208"/>
      <c r="P320" s="208"/>
      <c r="Q320" s="208"/>
      <c r="R320" s="208"/>
      <c r="S320" s="208"/>
      <c r="T320" s="208"/>
      <c r="U320" s="208"/>
      <c r="V320" s="208"/>
      <c r="W320" s="208"/>
      <c r="X320" s="208"/>
      <c r="Y320" s="208"/>
      <c r="Z320" s="208"/>
    </row>
    <row r="321" ht="12.0" customHeight="1">
      <c r="A321" s="208"/>
      <c r="B321" s="208"/>
      <c r="C321" s="208"/>
      <c r="D321" s="208"/>
      <c r="E321" s="208"/>
      <c r="F321" s="208"/>
      <c r="G321" s="208"/>
      <c r="H321" s="208"/>
      <c r="I321" s="208"/>
      <c r="J321" s="208"/>
      <c r="K321" s="208"/>
      <c r="L321" s="208"/>
      <c r="M321" s="208"/>
      <c r="N321" s="208"/>
      <c r="O321" s="208"/>
      <c r="P321" s="208"/>
      <c r="Q321" s="208"/>
      <c r="R321" s="208"/>
      <c r="S321" s="208"/>
      <c r="T321" s="208"/>
      <c r="U321" s="208"/>
      <c r="V321" s="208"/>
      <c r="W321" s="208"/>
      <c r="X321" s="208"/>
      <c r="Y321" s="208"/>
      <c r="Z321" s="208"/>
    </row>
    <row r="322" ht="12.0" customHeight="1">
      <c r="A322" s="208"/>
      <c r="B322" s="208"/>
      <c r="C322" s="208"/>
      <c r="D322" s="208"/>
      <c r="E322" s="208"/>
      <c r="F322" s="208"/>
      <c r="G322" s="208"/>
      <c r="H322" s="208"/>
      <c r="I322" s="208"/>
      <c r="J322" s="208"/>
      <c r="K322" s="208"/>
      <c r="L322" s="208"/>
      <c r="M322" s="208"/>
      <c r="N322" s="208"/>
      <c r="O322" s="208"/>
      <c r="P322" s="208"/>
      <c r="Q322" s="208"/>
      <c r="R322" s="208"/>
      <c r="S322" s="208"/>
      <c r="T322" s="208"/>
      <c r="U322" s="208"/>
      <c r="V322" s="208"/>
      <c r="W322" s="208"/>
      <c r="X322" s="208"/>
      <c r="Y322" s="208"/>
      <c r="Z322" s="208"/>
    </row>
    <row r="323" ht="12.0" customHeight="1">
      <c r="A323" s="208"/>
      <c r="B323" s="208"/>
      <c r="C323" s="208"/>
      <c r="D323" s="208"/>
      <c r="E323" s="208"/>
      <c r="F323" s="208"/>
      <c r="G323" s="208"/>
      <c r="H323" s="208"/>
      <c r="I323" s="208"/>
      <c r="J323" s="208"/>
      <c r="K323" s="208"/>
      <c r="L323" s="208"/>
      <c r="M323" s="208"/>
      <c r="N323" s="208"/>
      <c r="O323" s="208"/>
      <c r="P323" s="208"/>
      <c r="Q323" s="208"/>
      <c r="R323" s="208"/>
      <c r="S323" s="208"/>
      <c r="T323" s="208"/>
      <c r="U323" s="208"/>
      <c r="V323" s="208"/>
      <c r="W323" s="208"/>
      <c r="X323" s="208"/>
      <c r="Y323" s="208"/>
      <c r="Z323" s="208"/>
    </row>
    <row r="324" ht="12.0" customHeight="1">
      <c r="A324" s="208"/>
      <c r="B324" s="208"/>
      <c r="C324" s="208"/>
      <c r="D324" s="208"/>
      <c r="E324" s="208"/>
      <c r="F324" s="208"/>
      <c r="G324" s="208"/>
      <c r="H324" s="208"/>
      <c r="I324" s="208"/>
      <c r="J324" s="208"/>
      <c r="K324" s="208"/>
      <c r="L324" s="208"/>
      <c r="M324" s="208"/>
      <c r="N324" s="208"/>
      <c r="O324" s="208"/>
      <c r="P324" s="208"/>
      <c r="Q324" s="208"/>
      <c r="R324" s="208"/>
      <c r="S324" s="208"/>
      <c r="T324" s="208"/>
      <c r="U324" s="208"/>
      <c r="V324" s="208"/>
      <c r="W324" s="208"/>
      <c r="X324" s="208"/>
      <c r="Y324" s="208"/>
      <c r="Z324" s="208"/>
    </row>
    <row r="325" ht="12.0" customHeight="1">
      <c r="A325" s="208"/>
      <c r="B325" s="208"/>
      <c r="C325" s="208"/>
      <c r="D325" s="208"/>
      <c r="E325" s="208"/>
      <c r="F325" s="208"/>
      <c r="G325" s="208"/>
      <c r="H325" s="208"/>
      <c r="I325" s="208"/>
      <c r="J325" s="208"/>
      <c r="K325" s="208"/>
      <c r="L325" s="208"/>
      <c r="M325" s="208"/>
      <c r="N325" s="208"/>
      <c r="O325" s="208"/>
      <c r="P325" s="208"/>
      <c r="Q325" s="208"/>
      <c r="R325" s="208"/>
      <c r="S325" s="208"/>
      <c r="T325" s="208"/>
      <c r="U325" s="208"/>
      <c r="V325" s="208"/>
      <c r="W325" s="208"/>
      <c r="X325" s="208"/>
      <c r="Y325" s="208"/>
      <c r="Z325" s="208"/>
    </row>
    <row r="326" ht="12.0" customHeight="1">
      <c r="A326" s="208"/>
      <c r="B326" s="208"/>
      <c r="C326" s="208"/>
      <c r="D326" s="208"/>
      <c r="E326" s="208"/>
      <c r="F326" s="208"/>
      <c r="G326" s="208"/>
      <c r="H326" s="208"/>
      <c r="I326" s="208"/>
      <c r="J326" s="208"/>
      <c r="K326" s="208"/>
      <c r="L326" s="208"/>
      <c r="M326" s="208"/>
      <c r="N326" s="208"/>
      <c r="O326" s="208"/>
      <c r="P326" s="208"/>
      <c r="Q326" s="208"/>
      <c r="R326" s="208"/>
      <c r="S326" s="208"/>
      <c r="T326" s="208"/>
      <c r="U326" s="208"/>
      <c r="V326" s="208"/>
      <c r="W326" s="208"/>
      <c r="X326" s="208"/>
      <c r="Y326" s="208"/>
      <c r="Z326" s="208"/>
    </row>
    <row r="327" ht="12.0" customHeight="1">
      <c r="A327" s="208"/>
      <c r="B327" s="208"/>
      <c r="C327" s="208"/>
      <c r="D327" s="208"/>
      <c r="E327" s="208"/>
      <c r="F327" s="208"/>
      <c r="G327" s="208"/>
      <c r="H327" s="208"/>
      <c r="I327" s="208"/>
      <c r="J327" s="208"/>
      <c r="K327" s="208"/>
      <c r="L327" s="208"/>
      <c r="M327" s="208"/>
      <c r="N327" s="208"/>
      <c r="O327" s="208"/>
      <c r="P327" s="208"/>
      <c r="Q327" s="208"/>
      <c r="R327" s="208"/>
      <c r="S327" s="208"/>
      <c r="T327" s="208"/>
      <c r="U327" s="208"/>
      <c r="V327" s="208"/>
      <c r="W327" s="208"/>
      <c r="X327" s="208"/>
      <c r="Y327" s="208"/>
      <c r="Z327" s="208"/>
    </row>
    <row r="328" ht="12.0" customHeight="1">
      <c r="A328" s="208"/>
      <c r="B328" s="208"/>
      <c r="C328" s="208"/>
      <c r="D328" s="208"/>
      <c r="E328" s="208"/>
      <c r="F328" s="208"/>
      <c r="G328" s="208"/>
      <c r="H328" s="208"/>
      <c r="I328" s="208"/>
      <c r="J328" s="208"/>
      <c r="K328" s="208"/>
      <c r="L328" s="208"/>
      <c r="M328" s="208"/>
      <c r="N328" s="208"/>
      <c r="O328" s="208"/>
      <c r="P328" s="208"/>
      <c r="Q328" s="208"/>
      <c r="R328" s="208"/>
      <c r="S328" s="208"/>
      <c r="T328" s="208"/>
      <c r="U328" s="208"/>
      <c r="V328" s="208"/>
      <c r="W328" s="208"/>
      <c r="X328" s="208"/>
      <c r="Y328" s="208"/>
      <c r="Z328" s="208"/>
    </row>
    <row r="329" ht="12.0" customHeight="1">
      <c r="A329" s="208"/>
      <c r="B329" s="208"/>
      <c r="C329" s="208"/>
      <c r="D329" s="208"/>
      <c r="E329" s="208"/>
      <c r="F329" s="208"/>
      <c r="G329" s="208"/>
      <c r="H329" s="208"/>
      <c r="I329" s="208"/>
      <c r="J329" s="208"/>
      <c r="K329" s="208"/>
      <c r="L329" s="208"/>
      <c r="M329" s="208"/>
      <c r="N329" s="208"/>
      <c r="O329" s="208"/>
      <c r="P329" s="208"/>
      <c r="Q329" s="208"/>
      <c r="R329" s="208"/>
      <c r="S329" s="208"/>
      <c r="T329" s="208"/>
      <c r="U329" s="208"/>
      <c r="V329" s="208"/>
      <c r="W329" s="208"/>
      <c r="X329" s="208"/>
      <c r="Y329" s="208"/>
      <c r="Z329" s="208"/>
    </row>
    <row r="330" ht="12.0" customHeight="1">
      <c r="A330" s="208"/>
      <c r="B330" s="208"/>
      <c r="C330" s="208"/>
      <c r="D330" s="208"/>
      <c r="E330" s="208"/>
      <c r="F330" s="208"/>
      <c r="G330" s="208"/>
      <c r="H330" s="208"/>
      <c r="I330" s="208"/>
      <c r="J330" s="208"/>
      <c r="K330" s="208"/>
      <c r="L330" s="208"/>
      <c r="M330" s="208"/>
      <c r="N330" s="208"/>
      <c r="O330" s="208"/>
      <c r="P330" s="208"/>
      <c r="Q330" s="208"/>
      <c r="R330" s="208"/>
      <c r="S330" s="208"/>
      <c r="T330" s="208"/>
      <c r="U330" s="208"/>
      <c r="V330" s="208"/>
      <c r="W330" s="208"/>
      <c r="X330" s="208"/>
      <c r="Y330" s="208"/>
      <c r="Z330" s="208"/>
    </row>
    <row r="331" ht="12.0" customHeight="1">
      <c r="A331" s="208"/>
      <c r="B331" s="208"/>
      <c r="C331" s="208"/>
      <c r="D331" s="208"/>
      <c r="E331" s="208"/>
      <c r="F331" s="208"/>
      <c r="G331" s="208"/>
      <c r="H331" s="208"/>
      <c r="I331" s="208"/>
      <c r="J331" s="208"/>
      <c r="K331" s="208"/>
      <c r="L331" s="208"/>
      <c r="M331" s="208"/>
      <c r="N331" s="208"/>
      <c r="O331" s="208"/>
      <c r="P331" s="208"/>
      <c r="Q331" s="208"/>
      <c r="R331" s="208"/>
      <c r="S331" s="208"/>
      <c r="T331" s="208"/>
      <c r="U331" s="208"/>
      <c r="V331" s="208"/>
      <c r="W331" s="208"/>
      <c r="X331" s="208"/>
      <c r="Y331" s="208"/>
      <c r="Z331" s="208"/>
    </row>
    <row r="332" ht="12.0" customHeight="1">
      <c r="A332" s="208"/>
      <c r="B332" s="208"/>
      <c r="C332" s="208"/>
      <c r="D332" s="208"/>
      <c r="E332" s="208"/>
      <c r="F332" s="208"/>
      <c r="G332" s="208"/>
      <c r="H332" s="208"/>
      <c r="I332" s="208"/>
      <c r="J332" s="208"/>
      <c r="K332" s="208"/>
      <c r="L332" s="208"/>
      <c r="M332" s="208"/>
      <c r="N332" s="208"/>
      <c r="O332" s="208"/>
      <c r="P332" s="208"/>
      <c r="Q332" s="208"/>
      <c r="R332" s="208"/>
      <c r="S332" s="208"/>
      <c r="T332" s="208"/>
      <c r="U332" s="208"/>
      <c r="V332" s="208"/>
      <c r="W332" s="208"/>
      <c r="X332" s="208"/>
      <c r="Y332" s="208"/>
      <c r="Z332" s="208"/>
    </row>
    <row r="333" ht="12.0" customHeight="1">
      <c r="A333" s="208"/>
      <c r="B333" s="208"/>
      <c r="C333" s="208"/>
      <c r="D333" s="208"/>
      <c r="E333" s="208"/>
      <c r="F333" s="208"/>
      <c r="G333" s="208"/>
      <c r="H333" s="208"/>
      <c r="I333" s="208"/>
      <c r="J333" s="208"/>
      <c r="K333" s="208"/>
      <c r="L333" s="208"/>
      <c r="M333" s="208"/>
      <c r="N333" s="208"/>
      <c r="O333" s="208"/>
      <c r="P333" s="208"/>
      <c r="Q333" s="208"/>
      <c r="R333" s="208"/>
      <c r="S333" s="208"/>
      <c r="T333" s="208"/>
      <c r="U333" s="208"/>
      <c r="V333" s="208"/>
      <c r="W333" s="208"/>
      <c r="X333" s="208"/>
      <c r="Y333" s="208"/>
      <c r="Z333" s="208"/>
    </row>
    <row r="334" ht="12.0" customHeight="1">
      <c r="A334" s="208"/>
      <c r="B334" s="208"/>
      <c r="C334" s="208"/>
      <c r="D334" s="208"/>
      <c r="E334" s="208"/>
      <c r="F334" s="208"/>
      <c r="G334" s="208"/>
      <c r="H334" s="208"/>
      <c r="I334" s="208"/>
      <c r="J334" s="208"/>
      <c r="K334" s="208"/>
      <c r="L334" s="208"/>
      <c r="M334" s="208"/>
      <c r="N334" s="208"/>
      <c r="O334" s="208"/>
      <c r="P334" s="208"/>
      <c r="Q334" s="208"/>
      <c r="R334" s="208"/>
      <c r="S334" s="208"/>
      <c r="T334" s="208"/>
      <c r="U334" s="208"/>
      <c r="V334" s="208"/>
      <c r="W334" s="208"/>
      <c r="X334" s="208"/>
      <c r="Y334" s="208"/>
      <c r="Z334" s="208"/>
    </row>
    <row r="335" ht="12.0" customHeight="1">
      <c r="A335" s="208"/>
      <c r="B335" s="208"/>
      <c r="C335" s="208"/>
      <c r="D335" s="208"/>
      <c r="E335" s="208"/>
      <c r="F335" s="208"/>
      <c r="G335" s="208"/>
      <c r="H335" s="208"/>
      <c r="I335" s="208"/>
      <c r="J335" s="208"/>
      <c r="K335" s="208"/>
      <c r="L335" s="208"/>
      <c r="M335" s="208"/>
      <c r="N335" s="208"/>
      <c r="O335" s="208"/>
      <c r="P335" s="208"/>
      <c r="Q335" s="208"/>
      <c r="R335" s="208"/>
      <c r="S335" s="208"/>
      <c r="T335" s="208"/>
      <c r="U335" s="208"/>
      <c r="V335" s="208"/>
      <c r="W335" s="208"/>
      <c r="X335" s="208"/>
      <c r="Y335" s="208"/>
      <c r="Z335" s="208"/>
    </row>
    <row r="336" ht="12.0" customHeight="1">
      <c r="A336" s="208"/>
      <c r="B336" s="208"/>
      <c r="C336" s="208"/>
      <c r="D336" s="208"/>
      <c r="E336" s="208"/>
      <c r="F336" s="208"/>
      <c r="G336" s="208"/>
      <c r="H336" s="208"/>
      <c r="I336" s="208"/>
      <c r="J336" s="208"/>
      <c r="K336" s="208"/>
      <c r="L336" s="208"/>
      <c r="M336" s="208"/>
      <c r="N336" s="208"/>
      <c r="O336" s="208"/>
      <c r="P336" s="208"/>
      <c r="Q336" s="208"/>
      <c r="R336" s="208"/>
      <c r="S336" s="208"/>
      <c r="T336" s="208"/>
      <c r="U336" s="208"/>
      <c r="V336" s="208"/>
      <c r="W336" s="208"/>
      <c r="X336" s="208"/>
      <c r="Y336" s="208"/>
      <c r="Z336" s="208"/>
    </row>
    <row r="337" ht="12.0" customHeight="1">
      <c r="A337" s="208"/>
      <c r="B337" s="208"/>
      <c r="C337" s="208"/>
      <c r="D337" s="208"/>
      <c r="E337" s="208"/>
      <c r="F337" s="208"/>
      <c r="G337" s="208"/>
      <c r="H337" s="208"/>
      <c r="I337" s="208"/>
      <c r="J337" s="208"/>
      <c r="K337" s="208"/>
      <c r="L337" s="208"/>
      <c r="M337" s="208"/>
      <c r="N337" s="208"/>
      <c r="O337" s="208"/>
      <c r="P337" s="208"/>
      <c r="Q337" s="208"/>
      <c r="R337" s="208"/>
      <c r="S337" s="208"/>
      <c r="T337" s="208"/>
      <c r="U337" s="208"/>
      <c r="V337" s="208"/>
      <c r="W337" s="208"/>
      <c r="X337" s="208"/>
      <c r="Y337" s="208"/>
      <c r="Z337" s="208"/>
    </row>
    <row r="338" ht="12.0" customHeight="1">
      <c r="A338" s="208"/>
      <c r="B338" s="208"/>
      <c r="C338" s="208"/>
      <c r="D338" s="208"/>
      <c r="E338" s="208"/>
      <c r="F338" s="208"/>
      <c r="G338" s="208"/>
      <c r="H338" s="208"/>
      <c r="I338" s="208"/>
      <c r="J338" s="208"/>
      <c r="K338" s="208"/>
      <c r="L338" s="208"/>
      <c r="M338" s="208"/>
      <c r="N338" s="208"/>
      <c r="O338" s="208"/>
      <c r="P338" s="208"/>
      <c r="Q338" s="208"/>
      <c r="R338" s="208"/>
      <c r="S338" s="208"/>
      <c r="T338" s="208"/>
      <c r="U338" s="208"/>
      <c r="V338" s="208"/>
      <c r="W338" s="208"/>
      <c r="X338" s="208"/>
      <c r="Y338" s="208"/>
      <c r="Z338" s="208"/>
    </row>
    <row r="339" ht="12.0" customHeight="1">
      <c r="A339" s="208"/>
      <c r="B339" s="208"/>
      <c r="C339" s="208"/>
      <c r="D339" s="208"/>
      <c r="E339" s="208"/>
      <c r="F339" s="208"/>
      <c r="G339" s="208"/>
      <c r="H339" s="208"/>
      <c r="I339" s="208"/>
      <c r="J339" s="208"/>
      <c r="K339" s="208"/>
      <c r="L339" s="208"/>
      <c r="M339" s="208"/>
      <c r="N339" s="208"/>
      <c r="O339" s="208"/>
      <c r="P339" s="208"/>
      <c r="Q339" s="208"/>
      <c r="R339" s="208"/>
      <c r="S339" s="208"/>
      <c r="T339" s="208"/>
      <c r="U339" s="208"/>
      <c r="V339" s="208"/>
      <c r="W339" s="208"/>
      <c r="X339" s="208"/>
      <c r="Y339" s="208"/>
      <c r="Z339" s="208"/>
    </row>
    <row r="340" ht="12.0" customHeight="1">
      <c r="A340" s="208"/>
      <c r="B340" s="208"/>
      <c r="C340" s="208"/>
      <c r="D340" s="208"/>
      <c r="E340" s="208"/>
      <c r="F340" s="208"/>
      <c r="G340" s="208"/>
      <c r="H340" s="208"/>
      <c r="I340" s="208"/>
      <c r="J340" s="208"/>
      <c r="K340" s="208"/>
      <c r="L340" s="208"/>
      <c r="M340" s="208"/>
      <c r="N340" s="208"/>
      <c r="O340" s="208"/>
      <c r="P340" s="208"/>
      <c r="Q340" s="208"/>
      <c r="R340" s="208"/>
      <c r="S340" s="208"/>
      <c r="T340" s="208"/>
      <c r="U340" s="208"/>
      <c r="V340" s="208"/>
      <c r="W340" s="208"/>
      <c r="X340" s="208"/>
      <c r="Y340" s="208"/>
      <c r="Z340" s="208"/>
    </row>
    <row r="341" ht="12.0" customHeight="1">
      <c r="A341" s="208"/>
      <c r="B341" s="208"/>
      <c r="C341" s="208"/>
      <c r="D341" s="208"/>
      <c r="E341" s="208"/>
      <c r="F341" s="208"/>
      <c r="G341" s="208"/>
      <c r="H341" s="208"/>
      <c r="I341" s="208"/>
      <c r="J341" s="208"/>
      <c r="K341" s="208"/>
      <c r="L341" s="208"/>
      <c r="M341" s="208"/>
      <c r="N341" s="208"/>
      <c r="O341" s="208"/>
      <c r="P341" s="208"/>
      <c r="Q341" s="208"/>
      <c r="R341" s="208"/>
      <c r="S341" s="208"/>
      <c r="T341" s="208"/>
      <c r="U341" s="208"/>
      <c r="V341" s="208"/>
      <c r="W341" s="208"/>
      <c r="X341" s="208"/>
      <c r="Y341" s="208"/>
      <c r="Z341" s="208"/>
    </row>
    <row r="342" ht="12.0" customHeight="1">
      <c r="A342" s="208"/>
      <c r="B342" s="208"/>
      <c r="C342" s="208"/>
      <c r="D342" s="208"/>
      <c r="E342" s="208"/>
      <c r="F342" s="208"/>
      <c r="G342" s="208"/>
      <c r="H342" s="208"/>
      <c r="I342" s="208"/>
      <c r="J342" s="208"/>
      <c r="K342" s="208"/>
      <c r="L342" s="208"/>
      <c r="M342" s="208"/>
      <c r="N342" s="208"/>
      <c r="O342" s="208"/>
      <c r="P342" s="208"/>
      <c r="Q342" s="208"/>
      <c r="R342" s="208"/>
      <c r="S342" s="208"/>
      <c r="T342" s="208"/>
      <c r="U342" s="208"/>
      <c r="V342" s="208"/>
      <c r="W342" s="208"/>
      <c r="X342" s="208"/>
      <c r="Y342" s="208"/>
      <c r="Z342" s="208"/>
    </row>
    <row r="343" ht="12.0" customHeight="1">
      <c r="A343" s="208"/>
      <c r="B343" s="208"/>
      <c r="C343" s="208"/>
      <c r="D343" s="208"/>
      <c r="E343" s="208"/>
      <c r="F343" s="208"/>
      <c r="G343" s="208"/>
      <c r="H343" s="208"/>
      <c r="I343" s="208"/>
      <c r="J343" s="208"/>
      <c r="K343" s="208"/>
      <c r="L343" s="208"/>
      <c r="M343" s="208"/>
      <c r="N343" s="208"/>
      <c r="O343" s="208"/>
      <c r="P343" s="208"/>
      <c r="Q343" s="208"/>
      <c r="R343" s="208"/>
      <c r="S343" s="208"/>
      <c r="T343" s="208"/>
      <c r="U343" s="208"/>
      <c r="V343" s="208"/>
      <c r="W343" s="208"/>
      <c r="X343" s="208"/>
      <c r="Y343" s="208"/>
      <c r="Z343" s="208"/>
    </row>
    <row r="344" ht="12.0" customHeight="1">
      <c r="A344" s="208"/>
      <c r="B344" s="208"/>
      <c r="C344" s="208"/>
      <c r="D344" s="208"/>
      <c r="E344" s="208"/>
      <c r="F344" s="208"/>
      <c r="G344" s="208"/>
      <c r="H344" s="208"/>
      <c r="I344" s="208"/>
      <c r="J344" s="208"/>
      <c r="K344" s="208"/>
      <c r="L344" s="208"/>
      <c r="M344" s="208"/>
      <c r="N344" s="208"/>
      <c r="O344" s="208"/>
      <c r="P344" s="208"/>
      <c r="Q344" s="208"/>
      <c r="R344" s="208"/>
      <c r="S344" s="208"/>
      <c r="T344" s="208"/>
      <c r="U344" s="208"/>
      <c r="V344" s="208"/>
      <c r="W344" s="208"/>
      <c r="X344" s="208"/>
      <c r="Y344" s="208"/>
      <c r="Z344" s="208"/>
    </row>
    <row r="345" ht="12.0" customHeight="1">
      <c r="A345" s="208"/>
      <c r="B345" s="208"/>
      <c r="C345" s="208"/>
      <c r="D345" s="208"/>
      <c r="E345" s="208"/>
      <c r="F345" s="208"/>
      <c r="G345" s="208"/>
      <c r="H345" s="208"/>
      <c r="I345" s="208"/>
      <c r="J345" s="208"/>
      <c r="K345" s="208"/>
      <c r="L345" s="208"/>
      <c r="M345" s="208"/>
      <c r="N345" s="208"/>
      <c r="O345" s="208"/>
      <c r="P345" s="208"/>
      <c r="Q345" s="208"/>
      <c r="R345" s="208"/>
      <c r="S345" s="208"/>
      <c r="T345" s="208"/>
      <c r="U345" s="208"/>
      <c r="V345" s="208"/>
      <c r="W345" s="208"/>
      <c r="X345" s="208"/>
      <c r="Y345" s="208"/>
      <c r="Z345" s="208"/>
    </row>
    <row r="346" ht="12.0" customHeight="1">
      <c r="A346" s="208"/>
      <c r="B346" s="208"/>
      <c r="C346" s="208"/>
      <c r="D346" s="208"/>
      <c r="E346" s="208"/>
      <c r="F346" s="208"/>
      <c r="G346" s="208"/>
      <c r="H346" s="208"/>
      <c r="I346" s="208"/>
      <c r="J346" s="208"/>
      <c r="K346" s="208"/>
      <c r="L346" s="208"/>
      <c r="M346" s="208"/>
      <c r="N346" s="208"/>
      <c r="O346" s="208"/>
      <c r="P346" s="208"/>
      <c r="Q346" s="208"/>
      <c r="R346" s="208"/>
      <c r="S346" s="208"/>
      <c r="T346" s="208"/>
      <c r="U346" s="208"/>
      <c r="V346" s="208"/>
      <c r="W346" s="208"/>
      <c r="X346" s="208"/>
      <c r="Y346" s="208"/>
      <c r="Z346" s="208"/>
    </row>
    <row r="347" ht="12.0" customHeight="1">
      <c r="A347" s="208"/>
      <c r="B347" s="208"/>
      <c r="C347" s="208"/>
      <c r="D347" s="208"/>
      <c r="E347" s="208"/>
      <c r="F347" s="208"/>
      <c r="G347" s="208"/>
      <c r="H347" s="208"/>
      <c r="I347" s="208"/>
      <c r="J347" s="208"/>
      <c r="K347" s="208"/>
      <c r="L347" s="208"/>
      <c r="M347" s="208"/>
      <c r="N347" s="208"/>
      <c r="O347" s="208"/>
      <c r="P347" s="208"/>
      <c r="Q347" s="208"/>
      <c r="R347" s="208"/>
      <c r="S347" s="208"/>
      <c r="T347" s="208"/>
      <c r="U347" s="208"/>
      <c r="V347" s="208"/>
      <c r="W347" s="208"/>
      <c r="X347" s="208"/>
      <c r="Y347" s="208"/>
      <c r="Z347" s="208"/>
    </row>
    <row r="348" ht="12.0" customHeight="1">
      <c r="A348" s="208"/>
      <c r="B348" s="208"/>
      <c r="C348" s="208"/>
      <c r="D348" s="208"/>
      <c r="E348" s="208"/>
      <c r="F348" s="208"/>
      <c r="G348" s="208"/>
      <c r="H348" s="208"/>
      <c r="I348" s="208"/>
      <c r="J348" s="208"/>
      <c r="K348" s="208"/>
      <c r="L348" s="208"/>
      <c r="M348" s="208"/>
      <c r="N348" s="208"/>
      <c r="O348" s="208"/>
      <c r="P348" s="208"/>
      <c r="Q348" s="208"/>
      <c r="R348" s="208"/>
      <c r="S348" s="208"/>
      <c r="T348" s="208"/>
      <c r="U348" s="208"/>
      <c r="V348" s="208"/>
      <c r="W348" s="208"/>
      <c r="X348" s="208"/>
      <c r="Y348" s="208"/>
      <c r="Z348" s="208"/>
    </row>
    <row r="349" ht="12.0" customHeight="1">
      <c r="A349" s="208"/>
      <c r="B349" s="208"/>
      <c r="C349" s="208"/>
      <c r="D349" s="208"/>
      <c r="E349" s="208"/>
      <c r="F349" s="208"/>
      <c r="G349" s="208"/>
      <c r="H349" s="208"/>
      <c r="I349" s="208"/>
      <c r="J349" s="208"/>
      <c r="K349" s="208"/>
      <c r="L349" s="208"/>
      <c r="M349" s="208"/>
      <c r="N349" s="208"/>
      <c r="O349" s="208"/>
      <c r="P349" s="208"/>
      <c r="Q349" s="208"/>
      <c r="R349" s="208"/>
      <c r="S349" s="208"/>
      <c r="T349" s="208"/>
      <c r="U349" s="208"/>
      <c r="V349" s="208"/>
      <c r="W349" s="208"/>
      <c r="X349" s="208"/>
      <c r="Y349" s="208"/>
      <c r="Z349" s="208"/>
    </row>
    <row r="350" ht="12.0" customHeight="1">
      <c r="A350" s="208"/>
      <c r="B350" s="208"/>
      <c r="C350" s="208"/>
      <c r="D350" s="208"/>
      <c r="E350" s="208"/>
      <c r="F350" s="208"/>
      <c r="G350" s="208"/>
      <c r="H350" s="208"/>
      <c r="I350" s="208"/>
      <c r="J350" s="208"/>
      <c r="K350" s="208"/>
      <c r="L350" s="208"/>
      <c r="M350" s="208"/>
      <c r="N350" s="208"/>
      <c r="O350" s="208"/>
      <c r="P350" s="208"/>
      <c r="Q350" s="208"/>
      <c r="R350" s="208"/>
      <c r="S350" s="208"/>
      <c r="T350" s="208"/>
      <c r="U350" s="208"/>
      <c r="V350" s="208"/>
      <c r="W350" s="208"/>
      <c r="X350" s="208"/>
      <c r="Y350" s="208"/>
      <c r="Z350" s="208"/>
    </row>
    <row r="351" ht="12.0" customHeight="1">
      <c r="A351" s="208"/>
      <c r="B351" s="208"/>
      <c r="C351" s="208"/>
      <c r="D351" s="208"/>
      <c r="E351" s="208"/>
      <c r="F351" s="208"/>
      <c r="G351" s="208"/>
      <c r="H351" s="208"/>
      <c r="I351" s="208"/>
      <c r="J351" s="208"/>
      <c r="K351" s="208"/>
      <c r="L351" s="208"/>
      <c r="M351" s="208"/>
      <c r="N351" s="208"/>
      <c r="O351" s="208"/>
      <c r="P351" s="208"/>
      <c r="Q351" s="208"/>
      <c r="R351" s="208"/>
      <c r="S351" s="208"/>
      <c r="T351" s="208"/>
      <c r="U351" s="208"/>
      <c r="V351" s="208"/>
      <c r="W351" s="208"/>
      <c r="X351" s="208"/>
      <c r="Y351" s="208"/>
      <c r="Z351" s="208"/>
    </row>
    <row r="352" ht="12.0" customHeight="1">
      <c r="A352" s="208"/>
      <c r="B352" s="208"/>
      <c r="C352" s="208"/>
      <c r="D352" s="208"/>
      <c r="E352" s="208"/>
      <c r="F352" s="208"/>
      <c r="G352" s="208"/>
      <c r="H352" s="208"/>
      <c r="I352" s="208"/>
      <c r="J352" s="208"/>
      <c r="K352" s="208"/>
      <c r="L352" s="208"/>
      <c r="M352" s="208"/>
      <c r="N352" s="208"/>
      <c r="O352" s="208"/>
      <c r="P352" s="208"/>
      <c r="Q352" s="208"/>
      <c r="R352" s="208"/>
      <c r="S352" s="208"/>
      <c r="T352" s="208"/>
      <c r="U352" s="208"/>
      <c r="V352" s="208"/>
      <c r="W352" s="208"/>
      <c r="X352" s="208"/>
      <c r="Y352" s="208"/>
      <c r="Z352" s="208"/>
    </row>
    <row r="353" ht="12.0" customHeight="1">
      <c r="A353" s="208"/>
      <c r="B353" s="208"/>
      <c r="C353" s="208"/>
      <c r="D353" s="208"/>
      <c r="E353" s="208"/>
      <c r="F353" s="208"/>
      <c r="G353" s="208"/>
      <c r="H353" s="208"/>
      <c r="I353" s="208"/>
      <c r="J353" s="208"/>
      <c r="K353" s="208"/>
      <c r="L353" s="208"/>
      <c r="M353" s="208"/>
      <c r="N353" s="208"/>
      <c r="O353" s="208"/>
      <c r="P353" s="208"/>
      <c r="Q353" s="208"/>
      <c r="R353" s="208"/>
      <c r="S353" s="208"/>
      <c r="T353" s="208"/>
      <c r="U353" s="208"/>
      <c r="V353" s="208"/>
      <c r="W353" s="208"/>
      <c r="X353" s="208"/>
      <c r="Y353" s="208"/>
      <c r="Z353" s="208"/>
    </row>
    <row r="354" ht="12.0" customHeight="1">
      <c r="A354" s="208"/>
      <c r="B354" s="208"/>
      <c r="C354" s="208"/>
      <c r="D354" s="208"/>
      <c r="E354" s="208"/>
      <c r="F354" s="208"/>
      <c r="G354" s="208"/>
      <c r="H354" s="208"/>
      <c r="I354" s="208"/>
      <c r="J354" s="208"/>
      <c r="K354" s="208"/>
      <c r="L354" s="208"/>
      <c r="M354" s="208"/>
      <c r="N354" s="208"/>
      <c r="O354" s="208"/>
      <c r="P354" s="208"/>
      <c r="Q354" s="208"/>
      <c r="R354" s="208"/>
      <c r="S354" s="208"/>
      <c r="T354" s="208"/>
      <c r="U354" s="208"/>
      <c r="V354" s="208"/>
      <c r="W354" s="208"/>
      <c r="X354" s="208"/>
      <c r="Y354" s="208"/>
      <c r="Z354" s="208"/>
    </row>
    <row r="355" ht="12.0" customHeight="1">
      <c r="A355" s="208"/>
      <c r="B355" s="208"/>
      <c r="C355" s="208"/>
      <c r="D355" s="208"/>
      <c r="E355" s="208"/>
      <c r="F355" s="208"/>
      <c r="G355" s="208"/>
      <c r="H355" s="208"/>
      <c r="I355" s="208"/>
      <c r="J355" s="208"/>
      <c r="K355" s="208"/>
      <c r="L355" s="208"/>
      <c r="M355" s="208"/>
      <c r="N355" s="208"/>
      <c r="O355" s="208"/>
      <c r="P355" s="208"/>
      <c r="Q355" s="208"/>
      <c r="R355" s="208"/>
      <c r="S355" s="208"/>
      <c r="T355" s="208"/>
      <c r="U355" s="208"/>
      <c r="V355" s="208"/>
      <c r="W355" s="208"/>
      <c r="X355" s="208"/>
      <c r="Y355" s="208"/>
      <c r="Z355" s="208"/>
    </row>
    <row r="356" ht="12.0" customHeight="1">
      <c r="A356" s="208"/>
      <c r="B356" s="208"/>
      <c r="C356" s="208"/>
      <c r="D356" s="208"/>
      <c r="E356" s="208"/>
      <c r="F356" s="208"/>
      <c r="G356" s="208"/>
      <c r="H356" s="208"/>
      <c r="I356" s="208"/>
      <c r="J356" s="208"/>
      <c r="K356" s="208"/>
      <c r="L356" s="208"/>
      <c r="M356" s="208"/>
      <c r="N356" s="208"/>
      <c r="O356" s="208"/>
      <c r="P356" s="208"/>
      <c r="Q356" s="208"/>
      <c r="R356" s="208"/>
      <c r="S356" s="208"/>
      <c r="T356" s="208"/>
      <c r="U356" s="208"/>
      <c r="V356" s="208"/>
      <c r="W356" s="208"/>
      <c r="X356" s="208"/>
      <c r="Y356" s="208"/>
      <c r="Z356" s="208"/>
    </row>
    <row r="357" ht="12.0" customHeight="1">
      <c r="A357" s="208"/>
      <c r="B357" s="208"/>
      <c r="C357" s="208"/>
      <c r="D357" s="208"/>
      <c r="E357" s="208"/>
      <c r="F357" s="208"/>
      <c r="G357" s="208"/>
      <c r="H357" s="208"/>
      <c r="I357" s="208"/>
      <c r="J357" s="208"/>
      <c r="K357" s="208"/>
      <c r="L357" s="208"/>
      <c r="M357" s="208"/>
      <c r="N357" s="208"/>
      <c r="O357" s="208"/>
      <c r="P357" s="208"/>
      <c r="Q357" s="208"/>
      <c r="R357" s="208"/>
      <c r="S357" s="208"/>
      <c r="T357" s="208"/>
      <c r="U357" s="208"/>
      <c r="V357" s="208"/>
      <c r="W357" s="208"/>
      <c r="X357" s="208"/>
      <c r="Y357" s="208"/>
      <c r="Z357" s="208"/>
    </row>
    <row r="358" ht="12.0" customHeight="1">
      <c r="A358" s="208"/>
      <c r="B358" s="208"/>
      <c r="C358" s="208"/>
      <c r="D358" s="208"/>
      <c r="E358" s="208"/>
      <c r="F358" s="208"/>
      <c r="G358" s="208"/>
      <c r="H358" s="208"/>
      <c r="I358" s="208"/>
      <c r="J358" s="208"/>
      <c r="K358" s="208"/>
      <c r="L358" s="208"/>
      <c r="M358" s="208"/>
      <c r="N358" s="208"/>
      <c r="O358" s="208"/>
      <c r="P358" s="208"/>
      <c r="Q358" s="208"/>
      <c r="R358" s="208"/>
      <c r="S358" s="208"/>
      <c r="T358" s="208"/>
      <c r="U358" s="208"/>
      <c r="V358" s="208"/>
      <c r="W358" s="208"/>
      <c r="X358" s="208"/>
      <c r="Y358" s="208"/>
      <c r="Z358" s="208"/>
    </row>
    <row r="359" ht="12.0" customHeight="1">
      <c r="A359" s="208"/>
      <c r="B359" s="208"/>
      <c r="C359" s="208"/>
      <c r="D359" s="208"/>
      <c r="E359" s="208"/>
      <c r="F359" s="208"/>
      <c r="G359" s="208"/>
      <c r="H359" s="208"/>
      <c r="I359" s="208"/>
      <c r="J359" s="208"/>
      <c r="K359" s="208"/>
      <c r="L359" s="208"/>
      <c r="M359" s="208"/>
      <c r="N359" s="208"/>
      <c r="O359" s="208"/>
      <c r="P359" s="208"/>
      <c r="Q359" s="208"/>
      <c r="R359" s="208"/>
      <c r="S359" s="208"/>
      <c r="T359" s="208"/>
      <c r="U359" s="208"/>
      <c r="V359" s="208"/>
      <c r="W359" s="208"/>
      <c r="X359" s="208"/>
      <c r="Y359" s="208"/>
      <c r="Z359" s="208"/>
    </row>
    <row r="360" ht="12.0" customHeight="1">
      <c r="A360" s="208"/>
      <c r="B360" s="208"/>
      <c r="C360" s="208"/>
      <c r="D360" s="208"/>
      <c r="E360" s="208"/>
      <c r="F360" s="208"/>
      <c r="G360" s="208"/>
      <c r="H360" s="208"/>
      <c r="I360" s="208"/>
      <c r="J360" s="208"/>
      <c r="K360" s="208"/>
      <c r="L360" s="208"/>
      <c r="M360" s="208"/>
      <c r="N360" s="208"/>
      <c r="O360" s="208"/>
      <c r="P360" s="208"/>
      <c r="Q360" s="208"/>
      <c r="R360" s="208"/>
      <c r="S360" s="208"/>
      <c r="T360" s="208"/>
      <c r="U360" s="208"/>
      <c r="V360" s="208"/>
      <c r="W360" s="208"/>
      <c r="X360" s="208"/>
      <c r="Y360" s="208"/>
      <c r="Z360" s="208"/>
    </row>
    <row r="361" ht="12.0" customHeight="1">
      <c r="A361" s="208"/>
      <c r="B361" s="208"/>
      <c r="C361" s="208"/>
      <c r="D361" s="208"/>
      <c r="E361" s="208"/>
      <c r="F361" s="208"/>
      <c r="G361" s="208"/>
      <c r="H361" s="208"/>
      <c r="I361" s="208"/>
      <c r="J361" s="208"/>
      <c r="K361" s="208"/>
      <c r="L361" s="208"/>
      <c r="M361" s="208"/>
      <c r="N361" s="208"/>
      <c r="O361" s="208"/>
      <c r="P361" s="208"/>
      <c r="Q361" s="208"/>
      <c r="R361" s="208"/>
      <c r="S361" s="208"/>
      <c r="T361" s="208"/>
      <c r="U361" s="208"/>
      <c r="V361" s="208"/>
      <c r="W361" s="208"/>
      <c r="X361" s="208"/>
      <c r="Y361" s="208"/>
      <c r="Z361" s="208"/>
    </row>
    <row r="362" ht="12.0" customHeight="1">
      <c r="A362" s="208"/>
      <c r="B362" s="208"/>
      <c r="C362" s="208"/>
      <c r="D362" s="208"/>
      <c r="E362" s="208"/>
      <c r="F362" s="208"/>
      <c r="G362" s="208"/>
      <c r="H362" s="208"/>
      <c r="I362" s="208"/>
      <c r="J362" s="208"/>
      <c r="K362" s="208"/>
      <c r="L362" s="208"/>
      <c r="M362" s="208"/>
      <c r="N362" s="208"/>
      <c r="O362" s="208"/>
      <c r="P362" s="208"/>
      <c r="Q362" s="208"/>
      <c r="R362" s="208"/>
      <c r="S362" s="208"/>
      <c r="T362" s="208"/>
      <c r="U362" s="208"/>
      <c r="V362" s="208"/>
      <c r="W362" s="208"/>
      <c r="X362" s="208"/>
      <c r="Y362" s="208"/>
      <c r="Z362" s="208"/>
    </row>
    <row r="363" ht="12.0" customHeight="1">
      <c r="A363" s="208"/>
      <c r="B363" s="208"/>
      <c r="C363" s="208"/>
      <c r="D363" s="208"/>
      <c r="E363" s="208"/>
      <c r="F363" s="208"/>
      <c r="G363" s="208"/>
      <c r="H363" s="208"/>
      <c r="I363" s="208"/>
      <c r="J363" s="208"/>
      <c r="K363" s="208"/>
      <c r="L363" s="208"/>
      <c r="M363" s="208"/>
      <c r="N363" s="208"/>
      <c r="O363" s="208"/>
      <c r="P363" s="208"/>
      <c r="Q363" s="208"/>
      <c r="R363" s="208"/>
      <c r="S363" s="208"/>
      <c r="T363" s="208"/>
      <c r="U363" s="208"/>
      <c r="V363" s="208"/>
      <c r="W363" s="208"/>
      <c r="X363" s="208"/>
      <c r="Y363" s="208"/>
      <c r="Z363" s="208"/>
    </row>
    <row r="364" ht="12.0" customHeight="1">
      <c r="A364" s="208"/>
      <c r="B364" s="208"/>
      <c r="C364" s="208"/>
      <c r="D364" s="208"/>
      <c r="E364" s="208"/>
      <c r="F364" s="208"/>
      <c r="G364" s="208"/>
      <c r="H364" s="208"/>
      <c r="I364" s="208"/>
      <c r="J364" s="208"/>
      <c r="K364" s="208"/>
      <c r="L364" s="208"/>
      <c r="M364" s="208"/>
      <c r="N364" s="208"/>
      <c r="O364" s="208"/>
      <c r="P364" s="208"/>
      <c r="Q364" s="208"/>
      <c r="R364" s="208"/>
      <c r="S364" s="208"/>
      <c r="T364" s="208"/>
      <c r="U364" s="208"/>
      <c r="V364" s="208"/>
      <c r="W364" s="208"/>
      <c r="X364" s="208"/>
      <c r="Y364" s="208"/>
      <c r="Z364" s="208"/>
    </row>
    <row r="365" ht="12.0" customHeight="1">
      <c r="A365" s="208"/>
      <c r="B365" s="208"/>
      <c r="C365" s="208"/>
      <c r="D365" s="208"/>
      <c r="E365" s="208"/>
      <c r="F365" s="208"/>
      <c r="G365" s="208"/>
      <c r="H365" s="208"/>
      <c r="I365" s="208"/>
      <c r="J365" s="208"/>
      <c r="K365" s="208"/>
      <c r="L365" s="208"/>
      <c r="M365" s="208"/>
      <c r="N365" s="208"/>
      <c r="O365" s="208"/>
      <c r="P365" s="208"/>
      <c r="Q365" s="208"/>
      <c r="R365" s="208"/>
      <c r="S365" s="208"/>
      <c r="T365" s="208"/>
      <c r="U365" s="208"/>
      <c r="V365" s="208"/>
      <c r="W365" s="208"/>
      <c r="X365" s="208"/>
      <c r="Y365" s="208"/>
      <c r="Z365" s="208"/>
    </row>
    <row r="366" ht="12.0" customHeight="1">
      <c r="A366" s="208"/>
      <c r="B366" s="208"/>
      <c r="C366" s="208"/>
      <c r="D366" s="208"/>
      <c r="E366" s="208"/>
      <c r="F366" s="208"/>
      <c r="G366" s="208"/>
      <c r="H366" s="208"/>
      <c r="I366" s="208"/>
      <c r="J366" s="208"/>
      <c r="K366" s="208"/>
      <c r="L366" s="208"/>
      <c r="M366" s="208"/>
      <c r="N366" s="208"/>
      <c r="O366" s="208"/>
      <c r="P366" s="208"/>
      <c r="Q366" s="208"/>
      <c r="R366" s="208"/>
      <c r="S366" s="208"/>
      <c r="T366" s="208"/>
      <c r="U366" s="208"/>
      <c r="V366" s="208"/>
      <c r="W366" s="208"/>
      <c r="X366" s="208"/>
      <c r="Y366" s="208"/>
      <c r="Z366" s="208"/>
    </row>
    <row r="367" ht="12.0" customHeight="1">
      <c r="A367" s="208"/>
      <c r="B367" s="208"/>
      <c r="C367" s="208"/>
      <c r="D367" s="208"/>
      <c r="E367" s="208"/>
      <c r="F367" s="208"/>
      <c r="G367" s="208"/>
      <c r="H367" s="208"/>
      <c r="I367" s="208"/>
      <c r="J367" s="208"/>
      <c r="K367" s="208"/>
      <c r="L367" s="208"/>
      <c r="M367" s="208"/>
      <c r="N367" s="208"/>
      <c r="O367" s="208"/>
      <c r="P367" s="208"/>
      <c r="Q367" s="208"/>
      <c r="R367" s="208"/>
      <c r="S367" s="208"/>
      <c r="T367" s="208"/>
      <c r="U367" s="208"/>
      <c r="V367" s="208"/>
      <c r="W367" s="208"/>
      <c r="X367" s="208"/>
      <c r="Y367" s="208"/>
      <c r="Z367" s="208"/>
    </row>
    <row r="368" ht="12.0" customHeight="1">
      <c r="A368" s="208"/>
      <c r="B368" s="208"/>
      <c r="C368" s="208"/>
      <c r="D368" s="208"/>
      <c r="E368" s="208"/>
      <c r="F368" s="208"/>
      <c r="G368" s="208"/>
      <c r="H368" s="208"/>
      <c r="I368" s="208"/>
      <c r="J368" s="208"/>
      <c r="K368" s="208"/>
      <c r="L368" s="208"/>
      <c r="M368" s="208"/>
      <c r="N368" s="208"/>
      <c r="O368" s="208"/>
      <c r="P368" s="208"/>
      <c r="Q368" s="208"/>
      <c r="R368" s="208"/>
      <c r="S368" s="208"/>
      <c r="T368" s="208"/>
      <c r="U368" s="208"/>
      <c r="V368" s="208"/>
      <c r="W368" s="208"/>
      <c r="X368" s="208"/>
      <c r="Y368" s="208"/>
      <c r="Z368" s="208"/>
    </row>
    <row r="369" ht="12.0" customHeight="1">
      <c r="A369" s="208"/>
      <c r="B369" s="208"/>
      <c r="C369" s="208"/>
      <c r="D369" s="208"/>
      <c r="E369" s="208"/>
      <c r="F369" s="208"/>
      <c r="G369" s="208"/>
      <c r="H369" s="208"/>
      <c r="I369" s="208"/>
      <c r="J369" s="208"/>
      <c r="K369" s="208"/>
      <c r="L369" s="208"/>
      <c r="M369" s="208"/>
      <c r="N369" s="208"/>
      <c r="O369" s="208"/>
      <c r="P369" s="208"/>
      <c r="Q369" s="208"/>
      <c r="R369" s="208"/>
      <c r="S369" s="208"/>
      <c r="T369" s="208"/>
      <c r="U369" s="208"/>
      <c r="V369" s="208"/>
      <c r="W369" s="208"/>
      <c r="X369" s="208"/>
      <c r="Y369" s="208"/>
      <c r="Z369" s="208"/>
    </row>
    <row r="370" ht="12.0" customHeight="1">
      <c r="A370" s="208"/>
      <c r="B370" s="208"/>
      <c r="C370" s="208"/>
      <c r="D370" s="208"/>
      <c r="E370" s="208"/>
      <c r="F370" s="208"/>
      <c r="G370" s="208"/>
      <c r="H370" s="208"/>
      <c r="I370" s="208"/>
      <c r="J370" s="208"/>
      <c r="K370" s="208"/>
      <c r="L370" s="208"/>
      <c r="M370" s="208"/>
      <c r="N370" s="208"/>
      <c r="O370" s="208"/>
      <c r="P370" s="208"/>
      <c r="Q370" s="208"/>
      <c r="R370" s="208"/>
      <c r="S370" s="208"/>
      <c r="T370" s="208"/>
      <c r="U370" s="208"/>
      <c r="V370" s="208"/>
      <c r="W370" s="208"/>
      <c r="X370" s="208"/>
      <c r="Y370" s="208"/>
      <c r="Z370" s="208"/>
    </row>
    <row r="371" ht="12.0" customHeight="1">
      <c r="A371" s="208"/>
      <c r="B371" s="208"/>
      <c r="C371" s="208"/>
      <c r="D371" s="208"/>
      <c r="E371" s="208"/>
      <c r="F371" s="208"/>
      <c r="G371" s="208"/>
      <c r="H371" s="208"/>
      <c r="I371" s="208"/>
      <c r="J371" s="208"/>
      <c r="K371" s="208"/>
      <c r="L371" s="208"/>
      <c r="M371" s="208"/>
      <c r="N371" s="208"/>
      <c r="O371" s="208"/>
      <c r="P371" s="208"/>
      <c r="Q371" s="208"/>
      <c r="R371" s="208"/>
      <c r="S371" s="208"/>
      <c r="T371" s="208"/>
      <c r="U371" s="208"/>
      <c r="V371" s="208"/>
      <c r="W371" s="208"/>
      <c r="X371" s="208"/>
      <c r="Y371" s="208"/>
      <c r="Z371" s="208"/>
    </row>
    <row r="372" ht="12.0" customHeight="1">
      <c r="A372" s="208"/>
      <c r="B372" s="208"/>
      <c r="C372" s="208"/>
      <c r="D372" s="208"/>
      <c r="E372" s="208"/>
      <c r="F372" s="208"/>
      <c r="G372" s="208"/>
      <c r="H372" s="208"/>
      <c r="I372" s="208"/>
      <c r="J372" s="208"/>
      <c r="K372" s="208"/>
      <c r="L372" s="208"/>
      <c r="M372" s="208"/>
      <c r="N372" s="208"/>
      <c r="O372" s="208"/>
      <c r="P372" s="208"/>
      <c r="Q372" s="208"/>
      <c r="R372" s="208"/>
      <c r="S372" s="208"/>
      <c r="T372" s="208"/>
      <c r="U372" s="208"/>
      <c r="V372" s="208"/>
      <c r="W372" s="208"/>
      <c r="X372" s="208"/>
      <c r="Y372" s="208"/>
      <c r="Z372" s="208"/>
    </row>
    <row r="373" ht="12.0" customHeight="1">
      <c r="A373" s="208"/>
      <c r="B373" s="208"/>
      <c r="C373" s="208"/>
      <c r="D373" s="208"/>
      <c r="E373" s="208"/>
      <c r="F373" s="208"/>
      <c r="G373" s="208"/>
      <c r="H373" s="208"/>
      <c r="I373" s="208"/>
      <c r="J373" s="208"/>
      <c r="K373" s="208"/>
      <c r="L373" s="208"/>
      <c r="M373" s="208"/>
      <c r="N373" s="208"/>
      <c r="O373" s="208"/>
      <c r="P373" s="208"/>
      <c r="Q373" s="208"/>
      <c r="R373" s="208"/>
      <c r="S373" s="208"/>
      <c r="T373" s="208"/>
      <c r="U373" s="208"/>
      <c r="V373" s="208"/>
      <c r="W373" s="208"/>
      <c r="X373" s="208"/>
      <c r="Y373" s="208"/>
      <c r="Z373" s="208"/>
    </row>
    <row r="374" ht="12.0" customHeight="1">
      <c r="A374" s="208"/>
      <c r="B374" s="208"/>
      <c r="C374" s="208"/>
      <c r="D374" s="208"/>
      <c r="E374" s="208"/>
      <c r="F374" s="208"/>
      <c r="G374" s="208"/>
      <c r="H374" s="208"/>
      <c r="I374" s="208"/>
      <c r="J374" s="208"/>
      <c r="K374" s="208"/>
      <c r="L374" s="208"/>
      <c r="M374" s="208"/>
      <c r="N374" s="208"/>
      <c r="O374" s="208"/>
      <c r="P374" s="208"/>
      <c r="Q374" s="208"/>
      <c r="R374" s="208"/>
      <c r="S374" s="208"/>
      <c r="T374" s="208"/>
      <c r="U374" s="208"/>
      <c r="V374" s="208"/>
      <c r="W374" s="208"/>
      <c r="X374" s="208"/>
      <c r="Y374" s="208"/>
      <c r="Z374" s="208"/>
    </row>
    <row r="375" ht="12.0" customHeight="1">
      <c r="A375" s="208"/>
      <c r="B375" s="208"/>
      <c r="C375" s="208"/>
      <c r="D375" s="208"/>
      <c r="E375" s="208"/>
      <c r="F375" s="208"/>
      <c r="G375" s="208"/>
      <c r="H375" s="208"/>
      <c r="I375" s="208"/>
      <c r="J375" s="208"/>
      <c r="K375" s="208"/>
      <c r="L375" s="208"/>
      <c r="M375" s="208"/>
      <c r="N375" s="208"/>
      <c r="O375" s="208"/>
      <c r="P375" s="208"/>
      <c r="Q375" s="208"/>
      <c r="R375" s="208"/>
      <c r="S375" s="208"/>
      <c r="T375" s="208"/>
      <c r="U375" s="208"/>
      <c r="V375" s="208"/>
      <c r="W375" s="208"/>
      <c r="X375" s="208"/>
      <c r="Y375" s="208"/>
      <c r="Z375" s="208"/>
    </row>
    <row r="376" ht="12.0" customHeight="1">
      <c r="A376" s="208"/>
      <c r="B376" s="208"/>
      <c r="C376" s="208"/>
      <c r="D376" s="208"/>
      <c r="E376" s="208"/>
      <c r="F376" s="208"/>
      <c r="G376" s="208"/>
      <c r="H376" s="208"/>
      <c r="I376" s="208"/>
      <c r="J376" s="208"/>
      <c r="K376" s="208"/>
      <c r="L376" s="208"/>
      <c r="M376" s="208"/>
      <c r="N376" s="208"/>
      <c r="O376" s="208"/>
      <c r="P376" s="208"/>
      <c r="Q376" s="208"/>
      <c r="R376" s="208"/>
      <c r="S376" s="208"/>
      <c r="T376" s="208"/>
      <c r="U376" s="208"/>
      <c r="V376" s="208"/>
      <c r="W376" s="208"/>
      <c r="X376" s="208"/>
      <c r="Y376" s="208"/>
      <c r="Z376" s="208"/>
    </row>
    <row r="377" ht="12.0" customHeight="1">
      <c r="A377" s="208"/>
      <c r="B377" s="208"/>
      <c r="C377" s="208"/>
      <c r="D377" s="208"/>
      <c r="E377" s="208"/>
      <c r="F377" s="208"/>
      <c r="G377" s="208"/>
      <c r="H377" s="208"/>
      <c r="I377" s="208"/>
      <c r="J377" s="208"/>
      <c r="K377" s="208"/>
      <c r="L377" s="208"/>
      <c r="M377" s="208"/>
      <c r="N377" s="208"/>
      <c r="O377" s="208"/>
      <c r="P377" s="208"/>
      <c r="Q377" s="208"/>
      <c r="R377" s="208"/>
      <c r="S377" s="208"/>
      <c r="T377" s="208"/>
      <c r="U377" s="208"/>
      <c r="V377" s="208"/>
      <c r="W377" s="208"/>
      <c r="X377" s="208"/>
      <c r="Y377" s="208"/>
      <c r="Z377" s="208"/>
    </row>
    <row r="378" ht="12.0" customHeight="1">
      <c r="A378" s="208"/>
      <c r="B378" s="208"/>
      <c r="C378" s="208"/>
      <c r="D378" s="208"/>
      <c r="E378" s="208"/>
      <c r="F378" s="208"/>
      <c r="G378" s="208"/>
      <c r="H378" s="208"/>
      <c r="I378" s="208"/>
      <c r="J378" s="208"/>
      <c r="K378" s="208"/>
      <c r="L378" s="208"/>
      <c r="M378" s="208"/>
      <c r="N378" s="208"/>
      <c r="O378" s="208"/>
      <c r="P378" s="208"/>
      <c r="Q378" s="208"/>
      <c r="R378" s="208"/>
      <c r="S378" s="208"/>
      <c r="T378" s="208"/>
      <c r="U378" s="208"/>
      <c r="V378" s="208"/>
      <c r="W378" s="208"/>
      <c r="X378" s="208"/>
      <c r="Y378" s="208"/>
      <c r="Z378" s="208"/>
    </row>
    <row r="379" ht="12.0" customHeight="1">
      <c r="A379" s="208"/>
      <c r="B379" s="208"/>
      <c r="C379" s="208"/>
      <c r="D379" s="208"/>
      <c r="E379" s="208"/>
      <c r="F379" s="208"/>
      <c r="G379" s="208"/>
      <c r="H379" s="208"/>
      <c r="I379" s="208"/>
      <c r="J379" s="208"/>
      <c r="K379" s="208"/>
      <c r="L379" s="208"/>
      <c r="M379" s="208"/>
      <c r="N379" s="208"/>
      <c r="O379" s="208"/>
      <c r="P379" s="208"/>
      <c r="Q379" s="208"/>
      <c r="R379" s="208"/>
      <c r="S379" s="208"/>
      <c r="T379" s="208"/>
      <c r="U379" s="208"/>
      <c r="V379" s="208"/>
      <c r="W379" s="208"/>
      <c r="X379" s="208"/>
      <c r="Y379" s="208"/>
      <c r="Z379" s="208"/>
    </row>
    <row r="380" ht="12.0" customHeight="1">
      <c r="A380" s="208"/>
      <c r="B380" s="208"/>
      <c r="C380" s="208"/>
      <c r="D380" s="208"/>
      <c r="E380" s="208"/>
      <c r="F380" s="208"/>
      <c r="G380" s="208"/>
      <c r="H380" s="208"/>
      <c r="I380" s="208"/>
      <c r="J380" s="208"/>
      <c r="K380" s="208"/>
      <c r="L380" s="208"/>
      <c r="M380" s="208"/>
      <c r="N380" s="208"/>
      <c r="O380" s="208"/>
      <c r="P380" s="208"/>
      <c r="Q380" s="208"/>
      <c r="R380" s="208"/>
      <c r="S380" s="208"/>
      <c r="T380" s="208"/>
      <c r="U380" s="208"/>
      <c r="V380" s="208"/>
      <c r="W380" s="208"/>
      <c r="X380" s="208"/>
      <c r="Y380" s="208"/>
      <c r="Z380" s="208"/>
    </row>
    <row r="381" ht="12.0" customHeight="1">
      <c r="A381" s="208"/>
      <c r="B381" s="208"/>
      <c r="C381" s="208"/>
      <c r="D381" s="208"/>
      <c r="E381" s="208"/>
      <c r="F381" s="208"/>
      <c r="G381" s="208"/>
      <c r="H381" s="208"/>
      <c r="I381" s="208"/>
      <c r="J381" s="208"/>
      <c r="K381" s="208"/>
      <c r="L381" s="208"/>
      <c r="M381" s="208"/>
      <c r="N381" s="208"/>
      <c r="O381" s="208"/>
      <c r="P381" s="208"/>
      <c r="Q381" s="208"/>
      <c r="R381" s="208"/>
      <c r="S381" s="208"/>
      <c r="T381" s="208"/>
      <c r="U381" s="208"/>
      <c r="V381" s="208"/>
      <c r="W381" s="208"/>
      <c r="X381" s="208"/>
      <c r="Y381" s="208"/>
      <c r="Z381" s="208"/>
    </row>
    <row r="382" ht="12.0" customHeight="1">
      <c r="A382" s="208"/>
      <c r="B382" s="208"/>
      <c r="C382" s="208"/>
      <c r="D382" s="208"/>
      <c r="E382" s="208"/>
      <c r="F382" s="208"/>
      <c r="G382" s="208"/>
      <c r="H382" s="208"/>
      <c r="I382" s="208"/>
      <c r="J382" s="208"/>
      <c r="K382" s="208"/>
      <c r="L382" s="208"/>
      <c r="M382" s="208"/>
      <c r="N382" s="208"/>
      <c r="O382" s="208"/>
      <c r="P382" s="208"/>
      <c r="Q382" s="208"/>
      <c r="R382" s="208"/>
      <c r="S382" s="208"/>
      <c r="T382" s="208"/>
      <c r="U382" s="208"/>
      <c r="V382" s="208"/>
      <c r="W382" s="208"/>
      <c r="X382" s="208"/>
      <c r="Y382" s="208"/>
      <c r="Z382" s="208"/>
    </row>
    <row r="383" ht="12.0" customHeight="1">
      <c r="A383" s="208"/>
      <c r="B383" s="208"/>
      <c r="C383" s="208"/>
      <c r="D383" s="208"/>
      <c r="E383" s="208"/>
      <c r="F383" s="208"/>
      <c r="G383" s="208"/>
      <c r="H383" s="208"/>
      <c r="I383" s="208"/>
      <c r="J383" s="208"/>
      <c r="K383" s="208"/>
      <c r="L383" s="208"/>
      <c r="M383" s="208"/>
      <c r="N383" s="208"/>
      <c r="O383" s="208"/>
      <c r="P383" s="208"/>
      <c r="Q383" s="208"/>
      <c r="R383" s="208"/>
      <c r="S383" s="208"/>
      <c r="T383" s="208"/>
      <c r="U383" s="208"/>
      <c r="V383" s="208"/>
      <c r="W383" s="208"/>
      <c r="X383" s="208"/>
      <c r="Y383" s="208"/>
      <c r="Z383" s="208"/>
    </row>
    <row r="384" ht="12.0" customHeight="1">
      <c r="A384" s="208"/>
      <c r="B384" s="208"/>
      <c r="C384" s="208"/>
      <c r="D384" s="208"/>
      <c r="E384" s="208"/>
      <c r="F384" s="208"/>
      <c r="G384" s="208"/>
      <c r="H384" s="208"/>
      <c r="I384" s="208"/>
      <c r="J384" s="208"/>
      <c r="K384" s="208"/>
      <c r="L384" s="208"/>
      <c r="M384" s="208"/>
      <c r="N384" s="208"/>
      <c r="O384" s="208"/>
      <c r="P384" s="208"/>
      <c r="Q384" s="208"/>
      <c r="R384" s="208"/>
      <c r="S384" s="208"/>
      <c r="T384" s="208"/>
      <c r="U384" s="208"/>
      <c r="V384" s="208"/>
      <c r="W384" s="208"/>
      <c r="X384" s="208"/>
      <c r="Y384" s="208"/>
      <c r="Z384" s="208"/>
    </row>
    <row r="385" ht="12.0" customHeight="1">
      <c r="A385" s="208"/>
      <c r="B385" s="208"/>
      <c r="C385" s="208"/>
      <c r="D385" s="208"/>
      <c r="E385" s="208"/>
      <c r="F385" s="208"/>
      <c r="G385" s="208"/>
      <c r="H385" s="208"/>
      <c r="I385" s="208"/>
      <c r="J385" s="208"/>
      <c r="K385" s="208"/>
      <c r="L385" s="208"/>
      <c r="M385" s="208"/>
      <c r="N385" s="208"/>
      <c r="O385" s="208"/>
      <c r="P385" s="208"/>
      <c r="Q385" s="208"/>
      <c r="R385" s="208"/>
      <c r="S385" s="208"/>
      <c r="T385" s="208"/>
      <c r="U385" s="208"/>
      <c r="V385" s="208"/>
      <c r="W385" s="208"/>
      <c r="X385" s="208"/>
      <c r="Y385" s="208"/>
      <c r="Z385" s="208"/>
    </row>
    <row r="386" ht="12.0" customHeight="1">
      <c r="A386" s="208"/>
      <c r="B386" s="208"/>
      <c r="C386" s="208"/>
      <c r="D386" s="208"/>
      <c r="E386" s="208"/>
      <c r="F386" s="208"/>
      <c r="G386" s="208"/>
      <c r="H386" s="208"/>
      <c r="I386" s="208"/>
      <c r="J386" s="208"/>
      <c r="K386" s="208"/>
      <c r="L386" s="208"/>
      <c r="M386" s="208"/>
      <c r="N386" s="208"/>
      <c r="O386" s="208"/>
      <c r="P386" s="208"/>
      <c r="Q386" s="208"/>
      <c r="R386" s="208"/>
      <c r="S386" s="208"/>
      <c r="T386" s="208"/>
      <c r="U386" s="208"/>
      <c r="V386" s="208"/>
      <c r="W386" s="208"/>
      <c r="X386" s="208"/>
      <c r="Y386" s="208"/>
      <c r="Z386" s="208"/>
    </row>
    <row r="387" ht="12.0" customHeight="1">
      <c r="A387" s="208"/>
      <c r="B387" s="208"/>
      <c r="C387" s="208"/>
      <c r="D387" s="208"/>
      <c r="E387" s="208"/>
      <c r="F387" s="208"/>
      <c r="G387" s="208"/>
      <c r="H387" s="208"/>
      <c r="I387" s="208"/>
      <c r="J387" s="208"/>
      <c r="K387" s="208"/>
      <c r="L387" s="208"/>
      <c r="M387" s="208"/>
      <c r="N387" s="208"/>
      <c r="O387" s="208"/>
      <c r="P387" s="208"/>
      <c r="Q387" s="208"/>
      <c r="R387" s="208"/>
      <c r="S387" s="208"/>
      <c r="T387" s="208"/>
      <c r="U387" s="208"/>
      <c r="V387" s="208"/>
      <c r="W387" s="208"/>
      <c r="X387" s="208"/>
      <c r="Y387" s="208"/>
      <c r="Z387" s="208"/>
    </row>
    <row r="388" ht="12.0" customHeight="1">
      <c r="A388" s="208"/>
      <c r="B388" s="208"/>
      <c r="C388" s="208"/>
      <c r="D388" s="208"/>
      <c r="E388" s="208"/>
      <c r="F388" s="208"/>
      <c r="G388" s="208"/>
      <c r="H388" s="208"/>
      <c r="I388" s="208"/>
      <c r="J388" s="208"/>
      <c r="K388" s="208"/>
      <c r="L388" s="208"/>
      <c r="M388" s="208"/>
      <c r="N388" s="208"/>
      <c r="O388" s="208"/>
      <c r="P388" s="208"/>
      <c r="Q388" s="208"/>
      <c r="R388" s="208"/>
      <c r="S388" s="208"/>
      <c r="T388" s="208"/>
      <c r="U388" s="208"/>
      <c r="V388" s="208"/>
      <c r="W388" s="208"/>
      <c r="X388" s="208"/>
      <c r="Y388" s="208"/>
      <c r="Z388" s="208"/>
    </row>
    <row r="389" ht="12.0" customHeight="1">
      <c r="A389" s="208"/>
      <c r="B389" s="208"/>
      <c r="C389" s="208"/>
      <c r="D389" s="208"/>
      <c r="E389" s="208"/>
      <c r="F389" s="208"/>
      <c r="G389" s="208"/>
      <c r="H389" s="208"/>
      <c r="I389" s="208"/>
      <c r="J389" s="208"/>
      <c r="K389" s="208"/>
      <c r="L389" s="208"/>
      <c r="M389" s="208"/>
      <c r="N389" s="208"/>
      <c r="O389" s="208"/>
      <c r="P389" s="208"/>
      <c r="Q389" s="208"/>
      <c r="R389" s="208"/>
      <c r="S389" s="208"/>
      <c r="T389" s="208"/>
      <c r="U389" s="208"/>
      <c r="V389" s="208"/>
      <c r="W389" s="208"/>
      <c r="X389" s="208"/>
      <c r="Y389" s="208"/>
      <c r="Z389" s="208"/>
    </row>
    <row r="390" ht="12.0" customHeight="1">
      <c r="A390" s="208"/>
      <c r="B390" s="208"/>
      <c r="C390" s="208"/>
      <c r="D390" s="208"/>
      <c r="E390" s="208"/>
      <c r="F390" s="208"/>
      <c r="G390" s="208"/>
      <c r="H390" s="208"/>
      <c r="I390" s="208"/>
      <c r="J390" s="208"/>
      <c r="K390" s="208"/>
      <c r="L390" s="208"/>
      <c r="M390" s="208"/>
      <c r="N390" s="208"/>
      <c r="O390" s="208"/>
      <c r="P390" s="208"/>
      <c r="Q390" s="208"/>
      <c r="R390" s="208"/>
      <c r="S390" s="208"/>
      <c r="T390" s="208"/>
      <c r="U390" s="208"/>
      <c r="V390" s="208"/>
      <c r="W390" s="208"/>
      <c r="X390" s="208"/>
      <c r="Y390" s="208"/>
      <c r="Z390" s="208"/>
    </row>
    <row r="391" ht="12.0" customHeight="1">
      <c r="A391" s="208"/>
      <c r="B391" s="208"/>
      <c r="C391" s="208"/>
      <c r="D391" s="208"/>
      <c r="E391" s="208"/>
      <c r="F391" s="208"/>
      <c r="G391" s="208"/>
      <c r="H391" s="208"/>
      <c r="I391" s="208"/>
      <c r="J391" s="208"/>
      <c r="K391" s="208"/>
      <c r="L391" s="208"/>
      <c r="M391" s="208"/>
      <c r="N391" s="208"/>
      <c r="O391" s="208"/>
      <c r="P391" s="208"/>
      <c r="Q391" s="208"/>
      <c r="R391" s="208"/>
      <c r="S391" s="208"/>
      <c r="T391" s="208"/>
      <c r="U391" s="208"/>
      <c r="V391" s="208"/>
      <c r="W391" s="208"/>
      <c r="X391" s="208"/>
      <c r="Y391" s="208"/>
      <c r="Z391" s="208"/>
    </row>
    <row r="392" ht="12.0" customHeight="1">
      <c r="A392" s="208"/>
      <c r="B392" s="208"/>
      <c r="C392" s="208"/>
      <c r="D392" s="208"/>
      <c r="E392" s="208"/>
      <c r="F392" s="208"/>
      <c r="G392" s="208"/>
      <c r="H392" s="208"/>
      <c r="I392" s="208"/>
      <c r="J392" s="208"/>
      <c r="K392" s="208"/>
      <c r="L392" s="208"/>
      <c r="M392" s="208"/>
      <c r="N392" s="208"/>
      <c r="O392" s="208"/>
      <c r="P392" s="208"/>
      <c r="Q392" s="208"/>
      <c r="R392" s="208"/>
      <c r="S392" s="208"/>
      <c r="T392" s="208"/>
      <c r="U392" s="208"/>
      <c r="V392" s="208"/>
      <c r="W392" s="208"/>
      <c r="X392" s="208"/>
      <c r="Y392" s="208"/>
      <c r="Z392" s="208"/>
    </row>
    <row r="393" ht="12.0" customHeight="1">
      <c r="A393" s="208"/>
      <c r="B393" s="208"/>
      <c r="C393" s="208"/>
      <c r="D393" s="208"/>
      <c r="E393" s="208"/>
      <c r="F393" s="208"/>
      <c r="G393" s="208"/>
      <c r="H393" s="208"/>
      <c r="I393" s="208"/>
      <c r="J393" s="208"/>
      <c r="K393" s="208"/>
      <c r="L393" s="208"/>
      <c r="M393" s="208"/>
      <c r="N393" s="208"/>
      <c r="O393" s="208"/>
      <c r="P393" s="208"/>
      <c r="Q393" s="208"/>
      <c r="R393" s="208"/>
      <c r="S393" s="208"/>
      <c r="T393" s="208"/>
      <c r="U393" s="208"/>
      <c r="V393" s="208"/>
      <c r="W393" s="208"/>
      <c r="X393" s="208"/>
      <c r="Y393" s="208"/>
      <c r="Z393" s="208"/>
    </row>
    <row r="394" ht="12.0" customHeight="1">
      <c r="A394" s="208"/>
      <c r="B394" s="208"/>
      <c r="C394" s="208"/>
      <c r="D394" s="208"/>
      <c r="E394" s="208"/>
      <c r="F394" s="208"/>
      <c r="G394" s="208"/>
      <c r="H394" s="208"/>
      <c r="I394" s="208"/>
      <c r="J394" s="208"/>
      <c r="K394" s="208"/>
      <c r="L394" s="208"/>
      <c r="M394" s="208"/>
      <c r="N394" s="208"/>
      <c r="O394" s="208"/>
      <c r="P394" s="208"/>
      <c r="Q394" s="208"/>
      <c r="R394" s="208"/>
      <c r="S394" s="208"/>
      <c r="T394" s="208"/>
      <c r="U394" s="208"/>
      <c r="V394" s="208"/>
      <c r="W394" s="208"/>
      <c r="X394" s="208"/>
      <c r="Y394" s="208"/>
      <c r="Z394" s="208"/>
    </row>
    <row r="395" ht="12.0" customHeight="1">
      <c r="A395" s="208"/>
      <c r="B395" s="208"/>
      <c r="C395" s="208"/>
      <c r="D395" s="208"/>
      <c r="E395" s="208"/>
      <c r="F395" s="208"/>
      <c r="G395" s="208"/>
      <c r="H395" s="208"/>
      <c r="I395" s="208"/>
      <c r="J395" s="208"/>
      <c r="K395" s="208"/>
      <c r="L395" s="208"/>
      <c r="M395" s="208"/>
      <c r="N395" s="208"/>
      <c r="O395" s="208"/>
      <c r="P395" s="208"/>
      <c r="Q395" s="208"/>
      <c r="R395" s="208"/>
      <c r="S395" s="208"/>
      <c r="T395" s="208"/>
      <c r="U395" s="208"/>
      <c r="V395" s="208"/>
      <c r="W395" s="208"/>
      <c r="X395" s="208"/>
      <c r="Y395" s="208"/>
      <c r="Z395" s="208"/>
    </row>
    <row r="396" ht="12.0" customHeight="1">
      <c r="A396" s="208"/>
      <c r="B396" s="208"/>
      <c r="C396" s="208"/>
      <c r="D396" s="208"/>
      <c r="E396" s="208"/>
      <c r="F396" s="208"/>
      <c r="G396" s="208"/>
      <c r="H396" s="208"/>
      <c r="I396" s="208"/>
      <c r="J396" s="208"/>
      <c r="K396" s="208"/>
      <c r="L396" s="208"/>
      <c r="M396" s="208"/>
      <c r="N396" s="208"/>
      <c r="O396" s="208"/>
      <c r="P396" s="208"/>
      <c r="Q396" s="208"/>
      <c r="R396" s="208"/>
      <c r="S396" s="208"/>
      <c r="T396" s="208"/>
      <c r="U396" s="208"/>
      <c r="V396" s="208"/>
      <c r="W396" s="208"/>
      <c r="X396" s="208"/>
      <c r="Y396" s="208"/>
      <c r="Z396" s="208"/>
    </row>
    <row r="397" ht="12.0" customHeight="1">
      <c r="A397" s="208"/>
      <c r="B397" s="208"/>
      <c r="C397" s="208"/>
      <c r="D397" s="208"/>
      <c r="E397" s="208"/>
      <c r="F397" s="208"/>
      <c r="G397" s="208"/>
      <c r="H397" s="208"/>
      <c r="I397" s="208"/>
      <c r="J397" s="208"/>
      <c r="K397" s="208"/>
      <c r="L397" s="208"/>
      <c r="M397" s="208"/>
      <c r="N397" s="208"/>
      <c r="O397" s="208"/>
      <c r="P397" s="208"/>
      <c r="Q397" s="208"/>
      <c r="R397" s="208"/>
      <c r="S397" s="208"/>
      <c r="T397" s="208"/>
      <c r="U397" s="208"/>
      <c r="V397" s="208"/>
      <c r="W397" s="208"/>
      <c r="X397" s="208"/>
      <c r="Y397" s="208"/>
      <c r="Z397" s="208"/>
    </row>
    <row r="398" ht="12.0" customHeight="1">
      <c r="A398" s="208"/>
      <c r="B398" s="208"/>
      <c r="C398" s="208"/>
      <c r="D398" s="208"/>
      <c r="E398" s="208"/>
      <c r="F398" s="208"/>
      <c r="G398" s="208"/>
      <c r="H398" s="208"/>
      <c r="I398" s="208"/>
      <c r="J398" s="208"/>
      <c r="K398" s="208"/>
      <c r="L398" s="208"/>
      <c r="M398" s="208"/>
      <c r="N398" s="208"/>
      <c r="O398" s="208"/>
      <c r="P398" s="208"/>
      <c r="Q398" s="208"/>
      <c r="R398" s="208"/>
      <c r="S398" s="208"/>
      <c r="T398" s="208"/>
      <c r="U398" s="208"/>
      <c r="V398" s="208"/>
      <c r="W398" s="208"/>
      <c r="X398" s="208"/>
      <c r="Y398" s="208"/>
      <c r="Z398" s="208"/>
    </row>
    <row r="399" ht="12.0" customHeight="1">
      <c r="A399" s="208"/>
      <c r="B399" s="208"/>
      <c r="C399" s="208"/>
      <c r="D399" s="208"/>
      <c r="E399" s="208"/>
      <c r="F399" s="208"/>
      <c r="G399" s="208"/>
      <c r="H399" s="208"/>
      <c r="I399" s="208"/>
      <c r="J399" s="208"/>
      <c r="K399" s="208"/>
      <c r="L399" s="208"/>
      <c r="M399" s="208"/>
      <c r="N399" s="208"/>
      <c r="O399" s="208"/>
      <c r="P399" s="208"/>
      <c r="Q399" s="208"/>
      <c r="R399" s="208"/>
      <c r="S399" s="208"/>
      <c r="T399" s="208"/>
      <c r="U399" s="208"/>
      <c r="V399" s="208"/>
      <c r="W399" s="208"/>
      <c r="X399" s="208"/>
      <c r="Y399" s="208"/>
      <c r="Z399" s="208"/>
    </row>
    <row r="400" ht="12.0" customHeight="1">
      <c r="A400" s="208"/>
      <c r="B400" s="208"/>
      <c r="C400" s="208"/>
      <c r="D400" s="208"/>
      <c r="E400" s="208"/>
      <c r="F400" s="208"/>
      <c r="G400" s="208"/>
      <c r="H400" s="208"/>
      <c r="I400" s="208"/>
      <c r="J400" s="208"/>
      <c r="K400" s="208"/>
      <c r="L400" s="208"/>
      <c r="M400" s="208"/>
      <c r="N400" s="208"/>
      <c r="O400" s="208"/>
      <c r="P400" s="208"/>
      <c r="Q400" s="208"/>
      <c r="R400" s="208"/>
      <c r="S400" s="208"/>
      <c r="T400" s="208"/>
      <c r="U400" s="208"/>
      <c r="V400" s="208"/>
      <c r="W400" s="208"/>
      <c r="X400" s="208"/>
      <c r="Y400" s="208"/>
      <c r="Z400" s="208"/>
    </row>
    <row r="401" ht="12.0" customHeight="1">
      <c r="A401" s="208"/>
      <c r="B401" s="208"/>
      <c r="C401" s="208"/>
      <c r="D401" s="208"/>
      <c r="E401" s="208"/>
      <c r="F401" s="208"/>
      <c r="G401" s="208"/>
      <c r="H401" s="208"/>
      <c r="I401" s="208"/>
      <c r="J401" s="208"/>
      <c r="K401" s="208"/>
      <c r="L401" s="208"/>
      <c r="M401" s="208"/>
      <c r="N401" s="208"/>
      <c r="O401" s="208"/>
      <c r="P401" s="208"/>
      <c r="Q401" s="208"/>
      <c r="R401" s="208"/>
      <c r="S401" s="208"/>
      <c r="T401" s="208"/>
      <c r="U401" s="208"/>
      <c r="V401" s="208"/>
      <c r="W401" s="208"/>
      <c r="X401" s="208"/>
      <c r="Y401" s="208"/>
      <c r="Z401" s="208"/>
    </row>
    <row r="402" ht="12.0" customHeight="1">
      <c r="A402" s="208"/>
      <c r="B402" s="208"/>
      <c r="C402" s="208"/>
      <c r="D402" s="208"/>
      <c r="E402" s="208"/>
      <c r="F402" s="208"/>
      <c r="G402" s="208"/>
      <c r="H402" s="208"/>
      <c r="I402" s="208"/>
      <c r="J402" s="208"/>
      <c r="K402" s="208"/>
      <c r="L402" s="208"/>
      <c r="M402" s="208"/>
      <c r="N402" s="208"/>
      <c r="O402" s="208"/>
      <c r="P402" s="208"/>
      <c r="Q402" s="208"/>
      <c r="R402" s="208"/>
      <c r="S402" s="208"/>
      <c r="T402" s="208"/>
      <c r="U402" s="208"/>
      <c r="V402" s="208"/>
      <c r="W402" s="208"/>
      <c r="X402" s="208"/>
      <c r="Y402" s="208"/>
      <c r="Z402" s="208"/>
    </row>
    <row r="403" ht="12.0" customHeight="1">
      <c r="A403" s="208"/>
      <c r="B403" s="208"/>
      <c r="C403" s="208"/>
      <c r="D403" s="208"/>
      <c r="E403" s="208"/>
      <c r="F403" s="208"/>
      <c r="G403" s="208"/>
      <c r="H403" s="208"/>
      <c r="I403" s="208"/>
      <c r="J403" s="208"/>
      <c r="K403" s="208"/>
      <c r="L403" s="208"/>
      <c r="M403" s="208"/>
      <c r="N403" s="208"/>
      <c r="O403" s="208"/>
      <c r="P403" s="208"/>
      <c r="Q403" s="208"/>
      <c r="R403" s="208"/>
      <c r="S403" s="208"/>
      <c r="T403" s="208"/>
      <c r="U403" s="208"/>
      <c r="V403" s="208"/>
      <c r="W403" s="208"/>
      <c r="X403" s="208"/>
      <c r="Y403" s="208"/>
      <c r="Z403" s="208"/>
    </row>
    <row r="404" ht="12.0" customHeight="1">
      <c r="A404" s="208"/>
      <c r="B404" s="208"/>
      <c r="C404" s="208"/>
      <c r="D404" s="208"/>
      <c r="E404" s="208"/>
      <c r="F404" s="208"/>
      <c r="G404" s="208"/>
      <c r="H404" s="208"/>
      <c r="I404" s="208"/>
      <c r="J404" s="208"/>
      <c r="K404" s="208"/>
      <c r="L404" s="208"/>
      <c r="M404" s="208"/>
      <c r="N404" s="208"/>
      <c r="O404" s="208"/>
      <c r="P404" s="208"/>
      <c r="Q404" s="208"/>
      <c r="R404" s="208"/>
      <c r="S404" s="208"/>
      <c r="T404" s="208"/>
      <c r="U404" s="208"/>
      <c r="V404" s="208"/>
      <c r="W404" s="208"/>
      <c r="X404" s="208"/>
      <c r="Y404" s="208"/>
      <c r="Z404" s="208"/>
    </row>
    <row r="405" ht="12.0" customHeight="1">
      <c r="A405" s="208"/>
      <c r="B405" s="208"/>
      <c r="C405" s="208"/>
      <c r="D405" s="208"/>
      <c r="E405" s="208"/>
      <c r="F405" s="208"/>
      <c r="G405" s="208"/>
      <c r="H405" s="208"/>
      <c r="I405" s="208"/>
      <c r="J405" s="208"/>
      <c r="K405" s="208"/>
      <c r="L405" s="208"/>
      <c r="M405" s="208"/>
      <c r="N405" s="208"/>
      <c r="O405" s="208"/>
      <c r="P405" s="208"/>
      <c r="Q405" s="208"/>
      <c r="R405" s="208"/>
      <c r="S405" s="208"/>
      <c r="T405" s="208"/>
      <c r="U405" s="208"/>
      <c r="V405" s="208"/>
      <c r="W405" s="208"/>
      <c r="X405" s="208"/>
      <c r="Y405" s="208"/>
      <c r="Z405" s="208"/>
    </row>
    <row r="406" ht="12.0" customHeight="1">
      <c r="A406" s="208"/>
      <c r="B406" s="208"/>
      <c r="C406" s="208"/>
      <c r="D406" s="208"/>
      <c r="E406" s="208"/>
      <c r="F406" s="208"/>
      <c r="G406" s="208"/>
      <c r="H406" s="208"/>
      <c r="I406" s="208"/>
      <c r="J406" s="208"/>
      <c r="K406" s="208"/>
      <c r="L406" s="208"/>
      <c r="M406" s="208"/>
      <c r="N406" s="208"/>
      <c r="O406" s="208"/>
      <c r="P406" s="208"/>
      <c r="Q406" s="208"/>
      <c r="R406" s="208"/>
      <c r="S406" s="208"/>
      <c r="T406" s="208"/>
      <c r="U406" s="208"/>
      <c r="V406" s="208"/>
      <c r="W406" s="208"/>
      <c r="X406" s="208"/>
      <c r="Y406" s="208"/>
      <c r="Z406" s="208"/>
    </row>
    <row r="407" ht="12.0" customHeight="1">
      <c r="A407" s="208"/>
      <c r="B407" s="208"/>
      <c r="C407" s="208"/>
      <c r="D407" s="208"/>
      <c r="E407" s="208"/>
      <c r="F407" s="208"/>
      <c r="G407" s="208"/>
      <c r="H407" s="208"/>
      <c r="I407" s="208"/>
      <c r="J407" s="208"/>
      <c r="K407" s="208"/>
      <c r="L407" s="208"/>
      <c r="M407" s="208"/>
      <c r="N407" s="208"/>
      <c r="O407" s="208"/>
      <c r="P407" s="208"/>
      <c r="Q407" s="208"/>
      <c r="R407" s="208"/>
      <c r="S407" s="208"/>
      <c r="T407" s="208"/>
      <c r="U407" s="208"/>
      <c r="V407" s="208"/>
      <c r="W407" s="208"/>
      <c r="X407" s="208"/>
      <c r="Y407" s="208"/>
      <c r="Z407" s="208"/>
    </row>
    <row r="408" ht="12.0" customHeight="1">
      <c r="A408" s="208"/>
      <c r="B408" s="208"/>
      <c r="C408" s="208"/>
      <c r="D408" s="208"/>
      <c r="E408" s="208"/>
      <c r="F408" s="208"/>
      <c r="G408" s="208"/>
      <c r="H408" s="208"/>
      <c r="I408" s="208"/>
      <c r="J408" s="208"/>
      <c r="K408" s="208"/>
      <c r="L408" s="208"/>
      <c r="M408" s="208"/>
      <c r="N408" s="208"/>
      <c r="O408" s="208"/>
      <c r="P408" s="208"/>
      <c r="Q408" s="208"/>
      <c r="R408" s="208"/>
      <c r="S408" s="208"/>
      <c r="T408" s="208"/>
      <c r="U408" s="208"/>
      <c r="V408" s="208"/>
      <c r="W408" s="208"/>
      <c r="X408" s="208"/>
      <c r="Y408" s="208"/>
      <c r="Z408" s="208"/>
    </row>
    <row r="409" ht="12.0" customHeight="1">
      <c r="A409" s="208"/>
      <c r="B409" s="208"/>
      <c r="C409" s="208"/>
      <c r="D409" s="208"/>
      <c r="E409" s="208"/>
      <c r="F409" s="208"/>
      <c r="G409" s="208"/>
      <c r="H409" s="208"/>
      <c r="I409" s="208"/>
      <c r="J409" s="208"/>
      <c r="K409" s="208"/>
      <c r="L409" s="208"/>
      <c r="M409" s="208"/>
      <c r="N409" s="208"/>
      <c r="O409" s="208"/>
      <c r="P409" s="208"/>
      <c r="Q409" s="208"/>
      <c r="R409" s="208"/>
      <c r="S409" s="208"/>
      <c r="T409" s="208"/>
      <c r="U409" s="208"/>
      <c r="V409" s="208"/>
      <c r="W409" s="208"/>
      <c r="X409" s="208"/>
      <c r="Y409" s="208"/>
      <c r="Z409" s="208"/>
    </row>
    <row r="410" ht="12.0" customHeight="1">
      <c r="A410" s="208"/>
      <c r="B410" s="208"/>
      <c r="C410" s="208"/>
      <c r="D410" s="208"/>
      <c r="E410" s="208"/>
      <c r="F410" s="208"/>
      <c r="G410" s="208"/>
      <c r="H410" s="208"/>
      <c r="I410" s="208"/>
      <c r="J410" s="208"/>
      <c r="K410" s="208"/>
      <c r="L410" s="208"/>
      <c r="M410" s="208"/>
      <c r="N410" s="208"/>
      <c r="O410" s="208"/>
      <c r="P410" s="208"/>
      <c r="Q410" s="208"/>
      <c r="R410" s="208"/>
      <c r="S410" s="208"/>
      <c r="T410" s="208"/>
      <c r="U410" s="208"/>
      <c r="V410" s="208"/>
      <c r="W410" s="208"/>
      <c r="X410" s="208"/>
      <c r="Y410" s="208"/>
      <c r="Z410" s="208"/>
    </row>
    <row r="411" ht="12.0" customHeight="1">
      <c r="A411" s="208"/>
      <c r="B411" s="208"/>
      <c r="C411" s="208"/>
      <c r="D411" s="208"/>
      <c r="E411" s="208"/>
      <c r="F411" s="208"/>
      <c r="G411" s="208"/>
      <c r="H411" s="208"/>
      <c r="I411" s="208"/>
      <c r="J411" s="208"/>
      <c r="K411" s="208"/>
      <c r="L411" s="208"/>
      <c r="M411" s="208"/>
      <c r="N411" s="208"/>
      <c r="O411" s="208"/>
      <c r="P411" s="208"/>
      <c r="Q411" s="208"/>
      <c r="R411" s="208"/>
      <c r="S411" s="208"/>
      <c r="T411" s="208"/>
      <c r="U411" s="208"/>
      <c r="V411" s="208"/>
      <c r="W411" s="208"/>
      <c r="X411" s="208"/>
      <c r="Y411" s="208"/>
      <c r="Z411" s="208"/>
    </row>
    <row r="412" ht="12.0" customHeight="1">
      <c r="A412" s="208"/>
      <c r="B412" s="208"/>
      <c r="C412" s="208"/>
      <c r="D412" s="208"/>
      <c r="E412" s="208"/>
      <c r="F412" s="208"/>
      <c r="G412" s="208"/>
      <c r="H412" s="208"/>
      <c r="I412" s="208"/>
      <c r="J412" s="208"/>
      <c r="K412" s="208"/>
      <c r="L412" s="208"/>
      <c r="M412" s="208"/>
      <c r="N412" s="208"/>
      <c r="O412" s="208"/>
      <c r="P412" s="208"/>
      <c r="Q412" s="208"/>
      <c r="R412" s="208"/>
      <c r="S412" s="208"/>
      <c r="T412" s="208"/>
      <c r="U412" s="208"/>
      <c r="V412" s="208"/>
      <c r="W412" s="208"/>
      <c r="X412" s="208"/>
      <c r="Y412" s="208"/>
      <c r="Z412" s="208"/>
    </row>
    <row r="413" ht="12.0" customHeight="1">
      <c r="A413" s="208"/>
      <c r="B413" s="208"/>
      <c r="C413" s="208"/>
      <c r="D413" s="208"/>
      <c r="E413" s="208"/>
      <c r="F413" s="208"/>
      <c r="G413" s="208"/>
      <c r="H413" s="208"/>
      <c r="I413" s="208"/>
      <c r="J413" s="208"/>
      <c r="K413" s="208"/>
      <c r="L413" s="208"/>
      <c r="M413" s="208"/>
      <c r="N413" s="208"/>
      <c r="O413" s="208"/>
      <c r="P413" s="208"/>
      <c r="Q413" s="208"/>
      <c r="R413" s="208"/>
      <c r="S413" s="208"/>
      <c r="T413" s="208"/>
      <c r="U413" s="208"/>
      <c r="V413" s="208"/>
      <c r="W413" s="208"/>
      <c r="X413" s="208"/>
      <c r="Y413" s="208"/>
      <c r="Z413" s="208"/>
    </row>
    <row r="414" ht="12.0" customHeight="1">
      <c r="A414" s="208"/>
      <c r="B414" s="208"/>
      <c r="C414" s="208"/>
      <c r="D414" s="208"/>
      <c r="E414" s="208"/>
      <c r="F414" s="208"/>
      <c r="G414" s="208"/>
      <c r="H414" s="208"/>
      <c r="I414" s="208"/>
      <c r="J414" s="208"/>
      <c r="K414" s="208"/>
      <c r="L414" s="208"/>
      <c r="M414" s="208"/>
      <c r="N414" s="208"/>
      <c r="O414" s="208"/>
      <c r="P414" s="208"/>
      <c r="Q414" s="208"/>
      <c r="R414" s="208"/>
      <c r="S414" s="208"/>
      <c r="T414" s="208"/>
      <c r="U414" s="208"/>
      <c r="V414" s="208"/>
      <c r="W414" s="208"/>
      <c r="X414" s="208"/>
      <c r="Y414" s="208"/>
      <c r="Z414" s="208"/>
    </row>
    <row r="415" ht="12.0" customHeight="1">
      <c r="A415" s="208"/>
      <c r="B415" s="208"/>
      <c r="C415" s="208"/>
      <c r="D415" s="208"/>
      <c r="E415" s="208"/>
      <c r="F415" s="208"/>
      <c r="G415" s="208"/>
      <c r="H415" s="208"/>
      <c r="I415" s="208"/>
      <c r="J415" s="208"/>
      <c r="K415" s="208"/>
      <c r="L415" s="208"/>
      <c r="M415" s="208"/>
      <c r="N415" s="208"/>
      <c r="O415" s="208"/>
      <c r="P415" s="208"/>
      <c r="Q415" s="208"/>
      <c r="R415" s="208"/>
      <c r="S415" s="208"/>
      <c r="T415" s="208"/>
      <c r="U415" s="208"/>
      <c r="V415" s="208"/>
      <c r="W415" s="208"/>
      <c r="X415" s="208"/>
      <c r="Y415" s="208"/>
      <c r="Z415" s="208"/>
    </row>
    <row r="416" ht="12.0" customHeight="1">
      <c r="A416" s="208"/>
      <c r="B416" s="208"/>
      <c r="C416" s="208"/>
      <c r="D416" s="208"/>
      <c r="E416" s="208"/>
      <c r="F416" s="208"/>
      <c r="G416" s="208"/>
      <c r="H416" s="208"/>
      <c r="I416" s="208"/>
      <c r="J416" s="208"/>
      <c r="K416" s="208"/>
      <c r="L416" s="208"/>
      <c r="M416" s="208"/>
      <c r="N416" s="208"/>
      <c r="O416" s="208"/>
      <c r="P416" s="208"/>
      <c r="Q416" s="208"/>
      <c r="R416" s="208"/>
      <c r="S416" s="208"/>
      <c r="T416" s="208"/>
      <c r="U416" s="208"/>
      <c r="V416" s="208"/>
      <c r="W416" s="208"/>
      <c r="X416" s="208"/>
      <c r="Y416" s="208"/>
      <c r="Z416" s="208"/>
    </row>
    <row r="417" ht="12.0" customHeight="1">
      <c r="A417" s="208"/>
      <c r="B417" s="208"/>
      <c r="C417" s="208"/>
      <c r="D417" s="208"/>
      <c r="E417" s="208"/>
      <c r="F417" s="208"/>
      <c r="G417" s="208"/>
      <c r="H417" s="208"/>
      <c r="I417" s="208"/>
      <c r="J417" s="208"/>
      <c r="K417" s="208"/>
      <c r="L417" s="208"/>
      <c r="M417" s="208"/>
      <c r="N417" s="208"/>
      <c r="O417" s="208"/>
      <c r="P417" s="208"/>
      <c r="Q417" s="208"/>
      <c r="R417" s="208"/>
      <c r="S417" s="208"/>
      <c r="T417" s="208"/>
      <c r="U417" s="208"/>
      <c r="V417" s="208"/>
      <c r="W417" s="208"/>
      <c r="X417" s="208"/>
      <c r="Y417" s="208"/>
      <c r="Z417" s="208"/>
    </row>
    <row r="418" ht="12.0" customHeight="1">
      <c r="A418" s="208"/>
      <c r="B418" s="208"/>
      <c r="C418" s="208"/>
      <c r="D418" s="208"/>
      <c r="E418" s="208"/>
      <c r="F418" s="208"/>
      <c r="G418" s="208"/>
      <c r="H418" s="208"/>
      <c r="I418" s="208"/>
      <c r="J418" s="208"/>
      <c r="K418" s="208"/>
      <c r="L418" s="208"/>
      <c r="M418" s="208"/>
      <c r="N418" s="208"/>
      <c r="O418" s="208"/>
      <c r="P418" s="208"/>
      <c r="Q418" s="208"/>
      <c r="R418" s="208"/>
      <c r="S418" s="208"/>
      <c r="T418" s="208"/>
      <c r="U418" s="208"/>
      <c r="V418" s="208"/>
      <c r="W418" s="208"/>
      <c r="X418" s="208"/>
      <c r="Y418" s="208"/>
      <c r="Z418" s="208"/>
    </row>
    <row r="419" ht="12.0" customHeight="1">
      <c r="A419" s="208"/>
      <c r="B419" s="208"/>
      <c r="C419" s="208"/>
      <c r="D419" s="208"/>
      <c r="E419" s="208"/>
      <c r="F419" s="208"/>
      <c r="G419" s="208"/>
      <c r="H419" s="208"/>
      <c r="I419" s="208"/>
      <c r="J419" s="208"/>
      <c r="K419" s="208"/>
      <c r="L419" s="208"/>
      <c r="M419" s="208"/>
      <c r="N419" s="208"/>
      <c r="O419" s="208"/>
      <c r="P419" s="208"/>
      <c r="Q419" s="208"/>
      <c r="R419" s="208"/>
      <c r="S419" s="208"/>
      <c r="T419" s="208"/>
      <c r="U419" s="208"/>
      <c r="V419" s="208"/>
      <c r="W419" s="208"/>
      <c r="X419" s="208"/>
      <c r="Y419" s="208"/>
      <c r="Z419" s="208"/>
    </row>
    <row r="420" ht="12.0" customHeight="1">
      <c r="A420" s="208"/>
      <c r="B420" s="208"/>
      <c r="C420" s="208"/>
      <c r="D420" s="208"/>
      <c r="E420" s="208"/>
      <c r="F420" s="208"/>
      <c r="G420" s="208"/>
      <c r="H420" s="208"/>
      <c r="I420" s="208"/>
      <c r="J420" s="208"/>
      <c r="K420" s="208"/>
      <c r="L420" s="208"/>
      <c r="M420" s="208"/>
      <c r="N420" s="208"/>
      <c r="O420" s="208"/>
      <c r="P420" s="208"/>
      <c r="Q420" s="208"/>
      <c r="R420" s="208"/>
      <c r="S420" s="208"/>
      <c r="T420" s="208"/>
      <c r="U420" s="208"/>
      <c r="V420" s="208"/>
      <c r="W420" s="208"/>
      <c r="X420" s="208"/>
      <c r="Y420" s="208"/>
      <c r="Z420" s="208"/>
    </row>
    <row r="421" ht="12.0" customHeight="1">
      <c r="A421" s="208"/>
      <c r="B421" s="208"/>
      <c r="C421" s="208"/>
      <c r="D421" s="208"/>
      <c r="E421" s="208"/>
      <c r="F421" s="208"/>
      <c r="G421" s="208"/>
      <c r="H421" s="208"/>
      <c r="I421" s="208"/>
      <c r="J421" s="208"/>
      <c r="K421" s="208"/>
      <c r="L421" s="208"/>
      <c r="M421" s="208"/>
      <c r="N421" s="208"/>
      <c r="O421" s="208"/>
      <c r="P421" s="208"/>
      <c r="Q421" s="208"/>
      <c r="R421" s="208"/>
      <c r="S421" s="208"/>
      <c r="T421" s="208"/>
      <c r="U421" s="208"/>
      <c r="V421" s="208"/>
      <c r="W421" s="208"/>
      <c r="X421" s="208"/>
      <c r="Y421" s="208"/>
      <c r="Z421" s="208"/>
    </row>
    <row r="422" ht="12.0" customHeight="1">
      <c r="A422" s="208"/>
      <c r="B422" s="208"/>
      <c r="C422" s="208"/>
      <c r="D422" s="208"/>
      <c r="E422" s="208"/>
      <c r="F422" s="208"/>
      <c r="G422" s="208"/>
      <c r="H422" s="208"/>
      <c r="I422" s="208"/>
      <c r="J422" s="208"/>
      <c r="K422" s="208"/>
      <c r="L422" s="208"/>
      <c r="M422" s="208"/>
      <c r="N422" s="208"/>
      <c r="O422" s="208"/>
      <c r="P422" s="208"/>
      <c r="Q422" s="208"/>
      <c r="R422" s="208"/>
      <c r="S422" s="208"/>
      <c r="T422" s="208"/>
      <c r="U422" s="208"/>
      <c r="V422" s="208"/>
      <c r="W422" s="208"/>
      <c r="X422" s="208"/>
      <c r="Y422" s="208"/>
      <c r="Z422" s="208"/>
    </row>
    <row r="423" ht="12.0" customHeight="1">
      <c r="A423" s="208"/>
      <c r="B423" s="208"/>
      <c r="C423" s="208"/>
      <c r="D423" s="208"/>
      <c r="E423" s="208"/>
      <c r="F423" s="208"/>
      <c r="G423" s="208"/>
      <c r="H423" s="208"/>
      <c r="I423" s="208"/>
      <c r="J423" s="208"/>
      <c r="K423" s="208"/>
      <c r="L423" s="208"/>
      <c r="M423" s="208"/>
      <c r="N423" s="208"/>
      <c r="O423" s="208"/>
      <c r="P423" s="208"/>
      <c r="Q423" s="208"/>
      <c r="R423" s="208"/>
      <c r="S423" s="208"/>
      <c r="T423" s="208"/>
      <c r="U423" s="208"/>
      <c r="V423" s="208"/>
      <c r="W423" s="208"/>
      <c r="X423" s="208"/>
      <c r="Y423" s="208"/>
      <c r="Z423" s="208"/>
    </row>
    <row r="424" ht="12.0" customHeight="1">
      <c r="A424" s="208"/>
      <c r="B424" s="208"/>
      <c r="C424" s="208"/>
      <c r="D424" s="208"/>
      <c r="E424" s="208"/>
      <c r="F424" s="208"/>
      <c r="G424" s="208"/>
      <c r="H424" s="208"/>
      <c r="I424" s="208"/>
      <c r="J424" s="208"/>
      <c r="K424" s="208"/>
      <c r="L424" s="208"/>
      <c r="M424" s="208"/>
      <c r="N424" s="208"/>
      <c r="O424" s="208"/>
      <c r="P424" s="208"/>
      <c r="Q424" s="208"/>
      <c r="R424" s="208"/>
      <c r="S424" s="208"/>
      <c r="T424" s="208"/>
      <c r="U424" s="208"/>
      <c r="V424" s="208"/>
      <c r="W424" s="208"/>
      <c r="X424" s="208"/>
      <c r="Y424" s="208"/>
      <c r="Z424" s="208"/>
    </row>
    <row r="425" ht="12.0" customHeight="1">
      <c r="A425" s="208"/>
      <c r="B425" s="208"/>
      <c r="C425" s="208"/>
      <c r="D425" s="208"/>
      <c r="E425" s="208"/>
      <c r="F425" s="208"/>
      <c r="G425" s="208"/>
      <c r="H425" s="208"/>
      <c r="I425" s="208"/>
      <c r="J425" s="208"/>
      <c r="K425" s="208"/>
      <c r="L425" s="208"/>
      <c r="M425" s="208"/>
      <c r="N425" s="208"/>
      <c r="O425" s="208"/>
      <c r="P425" s="208"/>
      <c r="Q425" s="208"/>
      <c r="R425" s="208"/>
      <c r="S425" s="208"/>
      <c r="T425" s="208"/>
      <c r="U425" s="208"/>
      <c r="V425" s="208"/>
      <c r="W425" s="208"/>
      <c r="X425" s="208"/>
      <c r="Y425" s="208"/>
      <c r="Z425" s="208"/>
    </row>
    <row r="426" ht="12.0" customHeight="1">
      <c r="A426" s="208"/>
      <c r="B426" s="208"/>
      <c r="C426" s="208"/>
      <c r="D426" s="208"/>
      <c r="E426" s="208"/>
      <c r="F426" s="208"/>
      <c r="G426" s="208"/>
      <c r="H426" s="208"/>
      <c r="I426" s="208"/>
      <c r="J426" s="208"/>
      <c r="K426" s="208"/>
      <c r="L426" s="208"/>
      <c r="M426" s="208"/>
      <c r="N426" s="208"/>
      <c r="O426" s="208"/>
      <c r="P426" s="208"/>
      <c r="Q426" s="208"/>
      <c r="R426" s="208"/>
      <c r="S426" s="208"/>
      <c r="T426" s="208"/>
      <c r="U426" s="208"/>
      <c r="V426" s="208"/>
      <c r="W426" s="208"/>
      <c r="X426" s="208"/>
      <c r="Y426" s="208"/>
      <c r="Z426" s="208"/>
    </row>
    <row r="427" ht="12.0" customHeight="1">
      <c r="A427" s="208"/>
      <c r="B427" s="208"/>
      <c r="C427" s="208"/>
      <c r="D427" s="208"/>
      <c r="E427" s="208"/>
      <c r="F427" s="208"/>
      <c r="G427" s="208"/>
      <c r="H427" s="208"/>
      <c r="I427" s="208"/>
      <c r="J427" s="208"/>
      <c r="K427" s="208"/>
      <c r="L427" s="208"/>
      <c r="M427" s="208"/>
      <c r="N427" s="208"/>
      <c r="O427" s="208"/>
      <c r="P427" s="208"/>
      <c r="Q427" s="208"/>
      <c r="R427" s="208"/>
      <c r="S427" s="208"/>
      <c r="T427" s="208"/>
      <c r="U427" s="208"/>
      <c r="V427" s="208"/>
      <c r="W427" s="208"/>
      <c r="X427" s="208"/>
      <c r="Y427" s="208"/>
      <c r="Z427" s="208"/>
    </row>
    <row r="428" ht="12.0" customHeight="1">
      <c r="A428" s="208"/>
      <c r="B428" s="208"/>
      <c r="C428" s="208"/>
      <c r="D428" s="208"/>
      <c r="E428" s="208"/>
      <c r="F428" s="208"/>
      <c r="G428" s="208"/>
      <c r="H428" s="208"/>
      <c r="I428" s="208"/>
      <c r="J428" s="208"/>
      <c r="K428" s="208"/>
      <c r="L428" s="208"/>
      <c r="M428" s="208"/>
      <c r="N428" s="208"/>
      <c r="O428" s="208"/>
      <c r="P428" s="208"/>
      <c r="Q428" s="208"/>
      <c r="R428" s="208"/>
      <c r="S428" s="208"/>
      <c r="T428" s="208"/>
      <c r="U428" s="208"/>
      <c r="V428" s="208"/>
      <c r="W428" s="208"/>
      <c r="X428" s="208"/>
      <c r="Y428" s="208"/>
      <c r="Z428" s="208"/>
    </row>
    <row r="429" ht="12.0" customHeight="1">
      <c r="A429" s="208"/>
      <c r="B429" s="208"/>
      <c r="C429" s="208"/>
      <c r="D429" s="208"/>
      <c r="E429" s="208"/>
      <c r="F429" s="208"/>
      <c r="G429" s="208"/>
      <c r="H429" s="208"/>
      <c r="I429" s="208"/>
      <c r="J429" s="208"/>
      <c r="K429" s="208"/>
      <c r="L429" s="208"/>
      <c r="M429" s="208"/>
      <c r="N429" s="208"/>
      <c r="O429" s="208"/>
      <c r="P429" s="208"/>
      <c r="Q429" s="208"/>
      <c r="R429" s="208"/>
      <c r="S429" s="208"/>
      <c r="T429" s="208"/>
      <c r="U429" s="208"/>
      <c r="V429" s="208"/>
      <c r="W429" s="208"/>
      <c r="X429" s="208"/>
      <c r="Y429" s="208"/>
      <c r="Z429" s="208"/>
    </row>
    <row r="430" ht="12.0" customHeight="1">
      <c r="A430" s="208"/>
      <c r="B430" s="208"/>
      <c r="C430" s="208"/>
      <c r="D430" s="208"/>
      <c r="E430" s="208"/>
      <c r="F430" s="208"/>
      <c r="G430" s="208"/>
      <c r="H430" s="208"/>
      <c r="I430" s="208"/>
      <c r="J430" s="208"/>
      <c r="K430" s="208"/>
      <c r="L430" s="208"/>
      <c r="M430" s="208"/>
      <c r="N430" s="208"/>
      <c r="O430" s="208"/>
      <c r="P430" s="208"/>
      <c r="Q430" s="208"/>
      <c r="R430" s="208"/>
      <c r="S430" s="208"/>
      <c r="T430" s="208"/>
      <c r="U430" s="208"/>
      <c r="V430" s="208"/>
      <c r="W430" s="208"/>
      <c r="X430" s="208"/>
      <c r="Y430" s="208"/>
      <c r="Z430" s="208"/>
    </row>
    <row r="431" ht="12.0" customHeight="1">
      <c r="A431" s="208"/>
      <c r="B431" s="208"/>
      <c r="C431" s="208"/>
      <c r="D431" s="208"/>
      <c r="E431" s="208"/>
      <c r="F431" s="208"/>
      <c r="G431" s="208"/>
      <c r="H431" s="208"/>
      <c r="I431" s="208"/>
      <c r="J431" s="208"/>
      <c r="K431" s="208"/>
      <c r="L431" s="208"/>
      <c r="M431" s="208"/>
      <c r="N431" s="208"/>
      <c r="O431" s="208"/>
      <c r="P431" s="208"/>
      <c r="Q431" s="208"/>
      <c r="R431" s="208"/>
      <c r="S431" s="208"/>
      <c r="T431" s="208"/>
      <c r="U431" s="208"/>
      <c r="V431" s="208"/>
      <c r="W431" s="208"/>
      <c r="X431" s="208"/>
      <c r="Y431" s="208"/>
      <c r="Z431" s="208"/>
    </row>
    <row r="432" ht="12.0" customHeight="1">
      <c r="A432" s="208"/>
      <c r="B432" s="208"/>
      <c r="C432" s="208"/>
      <c r="D432" s="208"/>
      <c r="E432" s="208"/>
      <c r="F432" s="208"/>
      <c r="G432" s="208"/>
      <c r="H432" s="208"/>
      <c r="I432" s="208"/>
      <c r="J432" s="208"/>
      <c r="K432" s="208"/>
      <c r="L432" s="208"/>
      <c r="M432" s="208"/>
      <c r="N432" s="208"/>
      <c r="O432" s="208"/>
      <c r="P432" s="208"/>
      <c r="Q432" s="208"/>
      <c r="R432" s="208"/>
      <c r="S432" s="208"/>
      <c r="T432" s="208"/>
      <c r="U432" s="208"/>
      <c r="V432" s="208"/>
      <c r="W432" s="208"/>
      <c r="X432" s="208"/>
      <c r="Y432" s="208"/>
      <c r="Z432" s="208"/>
    </row>
    <row r="433" ht="12.0" customHeight="1">
      <c r="A433" s="208"/>
      <c r="B433" s="208"/>
      <c r="C433" s="208"/>
      <c r="D433" s="208"/>
      <c r="E433" s="208"/>
      <c r="F433" s="208"/>
      <c r="G433" s="208"/>
      <c r="H433" s="208"/>
      <c r="I433" s="208"/>
      <c r="J433" s="208"/>
      <c r="K433" s="208"/>
      <c r="L433" s="208"/>
      <c r="M433" s="208"/>
      <c r="N433" s="208"/>
      <c r="O433" s="208"/>
      <c r="P433" s="208"/>
      <c r="Q433" s="208"/>
      <c r="R433" s="208"/>
      <c r="S433" s="208"/>
      <c r="T433" s="208"/>
      <c r="U433" s="208"/>
      <c r="V433" s="208"/>
      <c r="W433" s="208"/>
      <c r="X433" s="208"/>
      <c r="Y433" s="208"/>
      <c r="Z433" s="208"/>
    </row>
    <row r="434" ht="12.0" customHeight="1">
      <c r="A434" s="208"/>
      <c r="B434" s="208"/>
      <c r="C434" s="208"/>
      <c r="D434" s="208"/>
      <c r="E434" s="208"/>
      <c r="F434" s="208"/>
      <c r="G434" s="208"/>
      <c r="H434" s="208"/>
      <c r="I434" s="208"/>
      <c r="J434" s="208"/>
      <c r="K434" s="208"/>
      <c r="L434" s="208"/>
      <c r="M434" s="208"/>
      <c r="N434" s="208"/>
      <c r="O434" s="208"/>
      <c r="P434" s="208"/>
      <c r="Q434" s="208"/>
      <c r="R434" s="208"/>
      <c r="S434" s="208"/>
      <c r="T434" s="208"/>
      <c r="U434" s="208"/>
      <c r="V434" s="208"/>
      <c r="W434" s="208"/>
      <c r="X434" s="208"/>
      <c r="Y434" s="208"/>
      <c r="Z434" s="208"/>
    </row>
    <row r="435" ht="12.0" customHeight="1">
      <c r="A435" s="208"/>
      <c r="B435" s="208"/>
      <c r="C435" s="208"/>
      <c r="D435" s="208"/>
      <c r="E435" s="208"/>
      <c r="F435" s="208"/>
      <c r="G435" s="208"/>
      <c r="H435" s="208"/>
      <c r="I435" s="208"/>
      <c r="J435" s="208"/>
      <c r="K435" s="208"/>
      <c r="L435" s="208"/>
      <c r="M435" s="208"/>
      <c r="N435" s="208"/>
      <c r="O435" s="208"/>
      <c r="P435" s="208"/>
      <c r="Q435" s="208"/>
      <c r="R435" s="208"/>
      <c r="S435" s="208"/>
      <c r="T435" s="208"/>
      <c r="U435" s="208"/>
      <c r="V435" s="208"/>
      <c r="W435" s="208"/>
      <c r="X435" s="208"/>
      <c r="Y435" s="208"/>
      <c r="Z435" s="208"/>
    </row>
    <row r="436" ht="12.0" customHeight="1">
      <c r="A436" s="208"/>
      <c r="B436" s="208"/>
      <c r="C436" s="208"/>
      <c r="D436" s="208"/>
      <c r="E436" s="208"/>
      <c r="F436" s="208"/>
      <c r="G436" s="208"/>
      <c r="H436" s="208"/>
      <c r="I436" s="208"/>
      <c r="J436" s="208"/>
      <c r="K436" s="208"/>
      <c r="L436" s="208"/>
      <c r="M436" s="208"/>
      <c r="N436" s="208"/>
      <c r="O436" s="208"/>
      <c r="P436" s="208"/>
      <c r="Q436" s="208"/>
      <c r="R436" s="208"/>
      <c r="S436" s="208"/>
      <c r="T436" s="208"/>
      <c r="U436" s="208"/>
      <c r="V436" s="208"/>
      <c r="W436" s="208"/>
      <c r="X436" s="208"/>
      <c r="Y436" s="208"/>
      <c r="Z436" s="208"/>
    </row>
    <row r="437" ht="12.0" customHeight="1">
      <c r="A437" s="208"/>
      <c r="B437" s="208"/>
      <c r="C437" s="208"/>
      <c r="D437" s="208"/>
      <c r="E437" s="208"/>
      <c r="F437" s="208"/>
      <c r="G437" s="208"/>
      <c r="H437" s="208"/>
      <c r="I437" s="208"/>
      <c r="J437" s="208"/>
      <c r="K437" s="208"/>
      <c r="L437" s="208"/>
      <c r="M437" s="208"/>
      <c r="N437" s="208"/>
      <c r="O437" s="208"/>
      <c r="P437" s="208"/>
      <c r="Q437" s="208"/>
      <c r="R437" s="208"/>
      <c r="S437" s="208"/>
      <c r="T437" s="208"/>
      <c r="U437" s="208"/>
      <c r="V437" s="208"/>
      <c r="W437" s="208"/>
      <c r="X437" s="208"/>
      <c r="Y437" s="208"/>
      <c r="Z437" s="208"/>
    </row>
    <row r="438" ht="12.0" customHeight="1">
      <c r="A438" s="208"/>
      <c r="B438" s="208"/>
      <c r="C438" s="208"/>
      <c r="D438" s="208"/>
      <c r="E438" s="208"/>
      <c r="F438" s="208"/>
      <c r="G438" s="208"/>
      <c r="H438" s="208"/>
      <c r="I438" s="208"/>
      <c r="J438" s="208"/>
      <c r="K438" s="208"/>
      <c r="L438" s="208"/>
      <c r="M438" s="208"/>
      <c r="N438" s="208"/>
      <c r="O438" s="208"/>
      <c r="P438" s="208"/>
      <c r="Q438" s="208"/>
      <c r="R438" s="208"/>
      <c r="S438" s="208"/>
      <c r="T438" s="208"/>
      <c r="U438" s="208"/>
      <c r="V438" s="208"/>
      <c r="W438" s="208"/>
      <c r="X438" s="208"/>
      <c r="Y438" s="208"/>
      <c r="Z438" s="208"/>
    </row>
    <row r="439" ht="12.0" customHeight="1">
      <c r="A439" s="208"/>
      <c r="B439" s="208"/>
      <c r="C439" s="208"/>
      <c r="D439" s="208"/>
      <c r="E439" s="208"/>
      <c r="F439" s="208"/>
      <c r="G439" s="208"/>
      <c r="H439" s="208"/>
      <c r="I439" s="208"/>
      <c r="J439" s="208"/>
      <c r="K439" s="208"/>
      <c r="L439" s="208"/>
      <c r="M439" s="208"/>
      <c r="N439" s="208"/>
      <c r="O439" s="208"/>
      <c r="P439" s="208"/>
      <c r="Q439" s="208"/>
      <c r="R439" s="208"/>
      <c r="S439" s="208"/>
      <c r="T439" s="208"/>
      <c r="U439" s="208"/>
      <c r="V439" s="208"/>
      <c r="W439" s="208"/>
      <c r="X439" s="208"/>
      <c r="Y439" s="208"/>
      <c r="Z439" s="208"/>
    </row>
    <row r="440" ht="12.0" customHeight="1">
      <c r="A440" s="208"/>
      <c r="B440" s="208"/>
      <c r="C440" s="208"/>
      <c r="D440" s="208"/>
      <c r="E440" s="208"/>
      <c r="F440" s="208"/>
      <c r="G440" s="208"/>
      <c r="H440" s="208"/>
      <c r="I440" s="208"/>
      <c r="J440" s="208"/>
      <c r="K440" s="208"/>
      <c r="L440" s="208"/>
      <c r="M440" s="208"/>
      <c r="N440" s="208"/>
      <c r="O440" s="208"/>
      <c r="P440" s="208"/>
      <c r="Q440" s="208"/>
      <c r="R440" s="208"/>
      <c r="S440" s="208"/>
      <c r="T440" s="208"/>
      <c r="U440" s="208"/>
      <c r="V440" s="208"/>
      <c r="W440" s="208"/>
      <c r="X440" s="208"/>
      <c r="Y440" s="208"/>
      <c r="Z440" s="208"/>
    </row>
    <row r="441" ht="12.0" customHeight="1">
      <c r="A441" s="208"/>
      <c r="B441" s="208"/>
      <c r="C441" s="208"/>
      <c r="D441" s="208"/>
      <c r="E441" s="208"/>
      <c r="F441" s="208"/>
      <c r="G441" s="208"/>
      <c r="H441" s="208"/>
      <c r="I441" s="208"/>
      <c r="J441" s="208"/>
      <c r="K441" s="208"/>
      <c r="L441" s="208"/>
      <c r="M441" s="208"/>
      <c r="N441" s="208"/>
      <c r="O441" s="208"/>
      <c r="P441" s="208"/>
      <c r="Q441" s="208"/>
      <c r="R441" s="208"/>
      <c r="S441" s="208"/>
      <c r="T441" s="208"/>
      <c r="U441" s="208"/>
      <c r="V441" s="208"/>
      <c r="W441" s="208"/>
      <c r="X441" s="208"/>
      <c r="Y441" s="208"/>
      <c r="Z441" s="208"/>
    </row>
    <row r="442" ht="12.0" customHeight="1">
      <c r="A442" s="208"/>
      <c r="B442" s="208"/>
      <c r="C442" s="208"/>
      <c r="D442" s="208"/>
      <c r="E442" s="208"/>
      <c r="F442" s="208"/>
      <c r="G442" s="208"/>
      <c r="H442" s="208"/>
      <c r="I442" s="208"/>
      <c r="J442" s="208"/>
      <c r="K442" s="208"/>
      <c r="L442" s="208"/>
      <c r="M442" s="208"/>
      <c r="N442" s="208"/>
      <c r="O442" s="208"/>
      <c r="P442" s="208"/>
      <c r="Q442" s="208"/>
      <c r="R442" s="208"/>
      <c r="S442" s="208"/>
      <c r="T442" s="208"/>
      <c r="U442" s="208"/>
      <c r="V442" s="208"/>
      <c r="W442" s="208"/>
      <c r="X442" s="208"/>
      <c r="Y442" s="208"/>
      <c r="Z442" s="208"/>
    </row>
    <row r="443" ht="12.0" customHeight="1">
      <c r="A443" s="208"/>
      <c r="B443" s="208"/>
      <c r="C443" s="208"/>
      <c r="D443" s="208"/>
      <c r="E443" s="208"/>
      <c r="F443" s="208"/>
      <c r="G443" s="208"/>
      <c r="H443" s="208"/>
      <c r="I443" s="208"/>
      <c r="J443" s="208"/>
      <c r="K443" s="208"/>
      <c r="L443" s="208"/>
      <c r="M443" s="208"/>
      <c r="N443" s="208"/>
      <c r="O443" s="208"/>
      <c r="P443" s="208"/>
      <c r="Q443" s="208"/>
      <c r="R443" s="208"/>
      <c r="S443" s="208"/>
      <c r="T443" s="208"/>
      <c r="U443" s="208"/>
      <c r="V443" s="208"/>
      <c r="W443" s="208"/>
      <c r="X443" s="208"/>
      <c r="Y443" s="208"/>
      <c r="Z443" s="208"/>
    </row>
    <row r="444" ht="12.0" customHeight="1">
      <c r="A444" s="208"/>
      <c r="B444" s="208"/>
      <c r="C444" s="208"/>
      <c r="D444" s="208"/>
      <c r="E444" s="208"/>
      <c r="F444" s="208"/>
      <c r="G444" s="208"/>
      <c r="H444" s="208"/>
      <c r="I444" s="208"/>
      <c r="J444" s="208"/>
      <c r="K444" s="208"/>
      <c r="L444" s="208"/>
      <c r="M444" s="208"/>
      <c r="N444" s="208"/>
      <c r="O444" s="208"/>
      <c r="P444" s="208"/>
      <c r="Q444" s="208"/>
      <c r="R444" s="208"/>
      <c r="S444" s="208"/>
      <c r="T444" s="208"/>
      <c r="U444" s="208"/>
      <c r="V444" s="208"/>
      <c r="W444" s="208"/>
      <c r="X444" s="208"/>
      <c r="Y444" s="208"/>
      <c r="Z444" s="208"/>
    </row>
    <row r="445" ht="12.0" customHeight="1">
      <c r="A445" s="208"/>
      <c r="B445" s="208"/>
      <c r="C445" s="208"/>
      <c r="D445" s="208"/>
      <c r="E445" s="208"/>
      <c r="F445" s="208"/>
      <c r="G445" s="208"/>
      <c r="H445" s="208"/>
      <c r="I445" s="208"/>
      <c r="J445" s="208"/>
      <c r="K445" s="208"/>
      <c r="L445" s="208"/>
      <c r="M445" s="208"/>
      <c r="N445" s="208"/>
      <c r="O445" s="208"/>
      <c r="P445" s="208"/>
      <c r="Q445" s="208"/>
      <c r="R445" s="208"/>
      <c r="S445" s="208"/>
      <c r="T445" s="208"/>
      <c r="U445" s="208"/>
      <c r="V445" s="208"/>
      <c r="W445" s="208"/>
      <c r="X445" s="208"/>
      <c r="Y445" s="208"/>
      <c r="Z445" s="208"/>
    </row>
    <row r="446" ht="12.0" customHeight="1">
      <c r="A446" s="208"/>
      <c r="B446" s="208"/>
      <c r="C446" s="208"/>
      <c r="D446" s="208"/>
      <c r="E446" s="208"/>
      <c r="F446" s="208"/>
      <c r="G446" s="208"/>
      <c r="H446" s="208"/>
      <c r="I446" s="208"/>
      <c r="J446" s="208"/>
      <c r="K446" s="208"/>
      <c r="L446" s="208"/>
      <c r="M446" s="208"/>
      <c r="N446" s="208"/>
      <c r="O446" s="208"/>
      <c r="P446" s="208"/>
      <c r="Q446" s="208"/>
      <c r="R446" s="208"/>
      <c r="S446" s="208"/>
      <c r="T446" s="208"/>
      <c r="U446" s="208"/>
      <c r="V446" s="208"/>
      <c r="W446" s="208"/>
      <c r="X446" s="208"/>
      <c r="Y446" s="208"/>
      <c r="Z446" s="208"/>
    </row>
    <row r="447" ht="12.0" customHeight="1">
      <c r="A447" s="208"/>
      <c r="B447" s="208"/>
      <c r="C447" s="208"/>
      <c r="D447" s="208"/>
      <c r="E447" s="208"/>
      <c r="F447" s="208"/>
      <c r="G447" s="208"/>
      <c r="H447" s="208"/>
      <c r="I447" s="208"/>
      <c r="J447" s="208"/>
      <c r="K447" s="208"/>
      <c r="L447" s="208"/>
      <c r="M447" s="208"/>
      <c r="N447" s="208"/>
      <c r="O447" s="208"/>
      <c r="P447" s="208"/>
      <c r="Q447" s="208"/>
      <c r="R447" s="208"/>
      <c r="S447" s="208"/>
      <c r="T447" s="208"/>
      <c r="U447" s="208"/>
      <c r="V447" s="208"/>
      <c r="W447" s="208"/>
      <c r="X447" s="208"/>
      <c r="Y447" s="208"/>
      <c r="Z447" s="208"/>
    </row>
    <row r="448" ht="12.0" customHeight="1">
      <c r="A448" s="208"/>
      <c r="B448" s="208"/>
      <c r="C448" s="208"/>
      <c r="D448" s="208"/>
      <c r="E448" s="208"/>
      <c r="F448" s="208"/>
      <c r="G448" s="208"/>
      <c r="H448" s="208"/>
      <c r="I448" s="208"/>
      <c r="J448" s="208"/>
      <c r="K448" s="208"/>
      <c r="L448" s="208"/>
      <c r="M448" s="208"/>
      <c r="N448" s="208"/>
      <c r="O448" s="208"/>
      <c r="P448" s="208"/>
      <c r="Q448" s="208"/>
      <c r="R448" s="208"/>
      <c r="S448" s="208"/>
      <c r="T448" s="208"/>
      <c r="U448" s="208"/>
      <c r="V448" s="208"/>
      <c r="W448" s="208"/>
      <c r="X448" s="208"/>
      <c r="Y448" s="208"/>
      <c r="Z448" s="208"/>
    </row>
    <row r="449" ht="12.0" customHeight="1">
      <c r="A449" s="208"/>
      <c r="B449" s="208"/>
      <c r="C449" s="208"/>
      <c r="D449" s="208"/>
      <c r="E449" s="208"/>
      <c r="F449" s="208"/>
      <c r="G449" s="208"/>
      <c r="H449" s="208"/>
      <c r="I449" s="208"/>
      <c r="J449" s="208"/>
      <c r="K449" s="208"/>
      <c r="L449" s="208"/>
      <c r="M449" s="208"/>
      <c r="N449" s="208"/>
      <c r="O449" s="208"/>
      <c r="P449" s="208"/>
      <c r="Q449" s="208"/>
      <c r="R449" s="208"/>
      <c r="S449" s="208"/>
      <c r="T449" s="208"/>
      <c r="U449" s="208"/>
      <c r="V449" s="208"/>
      <c r="W449" s="208"/>
      <c r="X449" s="208"/>
      <c r="Y449" s="208"/>
      <c r="Z449" s="208"/>
    </row>
    <row r="450" ht="12.0" customHeight="1">
      <c r="A450" s="208"/>
      <c r="B450" s="208"/>
      <c r="C450" s="208"/>
      <c r="D450" s="208"/>
      <c r="E450" s="208"/>
      <c r="F450" s="208"/>
      <c r="G450" s="208"/>
      <c r="H450" s="208"/>
      <c r="I450" s="208"/>
      <c r="J450" s="208"/>
      <c r="K450" s="208"/>
      <c r="L450" s="208"/>
      <c r="M450" s="208"/>
      <c r="N450" s="208"/>
      <c r="O450" s="208"/>
      <c r="P450" s="208"/>
      <c r="Q450" s="208"/>
      <c r="R450" s="208"/>
      <c r="S450" s="208"/>
      <c r="T450" s="208"/>
      <c r="U450" s="208"/>
      <c r="V450" s="208"/>
      <c r="W450" s="208"/>
      <c r="X450" s="208"/>
      <c r="Y450" s="208"/>
      <c r="Z450" s="208"/>
    </row>
    <row r="451" ht="12.0" customHeight="1">
      <c r="A451" s="208"/>
      <c r="B451" s="208"/>
      <c r="C451" s="208"/>
      <c r="D451" s="208"/>
      <c r="E451" s="208"/>
      <c r="F451" s="208"/>
      <c r="G451" s="208"/>
      <c r="H451" s="208"/>
      <c r="I451" s="208"/>
      <c r="J451" s="208"/>
      <c r="K451" s="208"/>
      <c r="L451" s="208"/>
      <c r="M451" s="208"/>
      <c r="N451" s="208"/>
      <c r="O451" s="208"/>
      <c r="P451" s="208"/>
      <c r="Q451" s="208"/>
      <c r="R451" s="208"/>
      <c r="S451" s="208"/>
      <c r="T451" s="208"/>
      <c r="U451" s="208"/>
      <c r="V451" s="208"/>
      <c r="W451" s="208"/>
      <c r="X451" s="208"/>
      <c r="Y451" s="208"/>
      <c r="Z451" s="208"/>
    </row>
    <row r="452" ht="12.0" customHeight="1">
      <c r="A452" s="208"/>
      <c r="B452" s="208"/>
      <c r="C452" s="208"/>
      <c r="D452" s="208"/>
      <c r="E452" s="208"/>
      <c r="F452" s="208"/>
      <c r="G452" s="208"/>
      <c r="H452" s="208"/>
      <c r="I452" s="208"/>
      <c r="J452" s="208"/>
      <c r="K452" s="208"/>
      <c r="L452" s="208"/>
      <c r="M452" s="208"/>
      <c r="N452" s="208"/>
      <c r="O452" s="208"/>
      <c r="P452" s="208"/>
      <c r="Q452" s="208"/>
      <c r="R452" s="208"/>
      <c r="S452" s="208"/>
      <c r="T452" s="208"/>
      <c r="U452" s="208"/>
      <c r="V452" s="208"/>
      <c r="W452" s="208"/>
      <c r="X452" s="208"/>
      <c r="Y452" s="208"/>
      <c r="Z452" s="208"/>
    </row>
    <row r="453" ht="12.0" customHeight="1">
      <c r="A453" s="208"/>
      <c r="B453" s="208"/>
      <c r="C453" s="208"/>
      <c r="D453" s="208"/>
      <c r="E453" s="208"/>
      <c r="F453" s="208"/>
      <c r="G453" s="208"/>
      <c r="H453" s="208"/>
      <c r="I453" s="208"/>
      <c r="J453" s="208"/>
      <c r="K453" s="208"/>
      <c r="L453" s="208"/>
      <c r="M453" s="208"/>
      <c r="N453" s="208"/>
      <c r="O453" s="208"/>
      <c r="P453" s="208"/>
      <c r="Q453" s="208"/>
      <c r="R453" s="208"/>
      <c r="S453" s="208"/>
      <c r="T453" s="208"/>
      <c r="U453" s="208"/>
      <c r="V453" s="208"/>
      <c r="W453" s="208"/>
      <c r="X453" s="208"/>
      <c r="Y453" s="208"/>
      <c r="Z453" s="208"/>
    </row>
    <row r="454" ht="12.0" customHeight="1">
      <c r="A454" s="208"/>
      <c r="B454" s="208"/>
      <c r="C454" s="208"/>
      <c r="D454" s="208"/>
      <c r="E454" s="208"/>
      <c r="F454" s="208"/>
      <c r="G454" s="208"/>
      <c r="H454" s="208"/>
      <c r="I454" s="208"/>
      <c r="J454" s="208"/>
      <c r="K454" s="208"/>
      <c r="L454" s="208"/>
      <c r="M454" s="208"/>
      <c r="N454" s="208"/>
      <c r="O454" s="208"/>
      <c r="P454" s="208"/>
      <c r="Q454" s="208"/>
      <c r="R454" s="208"/>
      <c r="S454" s="208"/>
      <c r="T454" s="208"/>
      <c r="U454" s="208"/>
      <c r="V454" s="208"/>
      <c r="W454" s="208"/>
      <c r="X454" s="208"/>
      <c r="Y454" s="208"/>
      <c r="Z454" s="208"/>
    </row>
    <row r="455" ht="12.0" customHeight="1">
      <c r="A455" s="208"/>
      <c r="B455" s="208"/>
      <c r="C455" s="208"/>
      <c r="D455" s="208"/>
      <c r="E455" s="208"/>
      <c r="F455" s="208"/>
      <c r="G455" s="208"/>
      <c r="H455" s="208"/>
      <c r="I455" s="208"/>
      <c r="J455" s="208"/>
      <c r="K455" s="208"/>
      <c r="L455" s="208"/>
      <c r="M455" s="208"/>
      <c r="N455" s="208"/>
      <c r="O455" s="208"/>
      <c r="P455" s="208"/>
      <c r="Q455" s="208"/>
      <c r="R455" s="208"/>
      <c r="S455" s="208"/>
      <c r="T455" s="208"/>
      <c r="U455" s="208"/>
      <c r="V455" s="208"/>
      <c r="W455" s="208"/>
      <c r="X455" s="208"/>
      <c r="Y455" s="208"/>
      <c r="Z455" s="208"/>
    </row>
    <row r="456" ht="12.0" customHeight="1">
      <c r="A456" s="208"/>
      <c r="B456" s="208"/>
      <c r="C456" s="208"/>
      <c r="D456" s="208"/>
      <c r="E456" s="208"/>
      <c r="F456" s="208"/>
      <c r="G456" s="208"/>
      <c r="H456" s="208"/>
      <c r="I456" s="208"/>
      <c r="J456" s="208"/>
      <c r="K456" s="208"/>
      <c r="L456" s="208"/>
      <c r="M456" s="208"/>
      <c r="N456" s="208"/>
      <c r="O456" s="208"/>
      <c r="P456" s="208"/>
      <c r="Q456" s="208"/>
      <c r="R456" s="208"/>
      <c r="S456" s="208"/>
      <c r="T456" s="208"/>
      <c r="U456" s="208"/>
      <c r="V456" s="208"/>
      <c r="W456" s="208"/>
      <c r="X456" s="208"/>
      <c r="Y456" s="208"/>
      <c r="Z456" s="208"/>
    </row>
    <row r="457" ht="12.0" customHeight="1">
      <c r="A457" s="208"/>
      <c r="B457" s="208"/>
      <c r="C457" s="208"/>
      <c r="D457" s="208"/>
      <c r="E457" s="208"/>
      <c r="F457" s="208"/>
      <c r="G457" s="208"/>
      <c r="H457" s="208"/>
      <c r="I457" s="208"/>
      <c r="J457" s="208"/>
      <c r="K457" s="208"/>
      <c r="L457" s="208"/>
      <c r="M457" s="208"/>
      <c r="N457" s="208"/>
      <c r="O457" s="208"/>
      <c r="P457" s="208"/>
      <c r="Q457" s="208"/>
      <c r="R457" s="208"/>
      <c r="S457" s="208"/>
      <c r="T457" s="208"/>
      <c r="U457" s="208"/>
      <c r="V457" s="208"/>
      <c r="W457" s="208"/>
      <c r="X457" s="208"/>
      <c r="Y457" s="208"/>
      <c r="Z457" s="208"/>
    </row>
    <row r="458" ht="12.0" customHeight="1">
      <c r="A458" s="208"/>
      <c r="B458" s="208"/>
      <c r="C458" s="208"/>
      <c r="D458" s="208"/>
      <c r="E458" s="208"/>
      <c r="F458" s="208"/>
      <c r="G458" s="208"/>
      <c r="H458" s="208"/>
      <c r="I458" s="208"/>
      <c r="J458" s="208"/>
      <c r="K458" s="208"/>
      <c r="L458" s="208"/>
      <c r="M458" s="208"/>
      <c r="N458" s="208"/>
      <c r="O458" s="208"/>
      <c r="P458" s="208"/>
      <c r="Q458" s="208"/>
      <c r="R458" s="208"/>
      <c r="S458" s="208"/>
      <c r="T458" s="208"/>
      <c r="U458" s="208"/>
      <c r="V458" s="208"/>
      <c r="W458" s="208"/>
      <c r="X458" s="208"/>
      <c r="Y458" s="208"/>
      <c r="Z458" s="208"/>
    </row>
    <row r="459" ht="12.0" customHeight="1">
      <c r="A459" s="208"/>
      <c r="B459" s="208"/>
      <c r="C459" s="208"/>
      <c r="D459" s="208"/>
      <c r="E459" s="208"/>
      <c r="F459" s="208"/>
      <c r="G459" s="208"/>
      <c r="H459" s="208"/>
      <c r="I459" s="208"/>
      <c r="J459" s="208"/>
      <c r="K459" s="208"/>
      <c r="L459" s="208"/>
      <c r="M459" s="208"/>
      <c r="N459" s="208"/>
      <c r="O459" s="208"/>
      <c r="P459" s="208"/>
      <c r="Q459" s="208"/>
      <c r="R459" s="208"/>
      <c r="S459" s="208"/>
      <c r="T459" s="208"/>
      <c r="U459" s="208"/>
      <c r="V459" s="208"/>
      <c r="W459" s="208"/>
      <c r="X459" s="208"/>
      <c r="Y459" s="208"/>
      <c r="Z459" s="208"/>
    </row>
    <row r="460" ht="12.0" customHeight="1">
      <c r="A460" s="208"/>
      <c r="B460" s="208"/>
      <c r="C460" s="208"/>
      <c r="D460" s="208"/>
      <c r="E460" s="208"/>
      <c r="F460" s="208"/>
      <c r="G460" s="208"/>
      <c r="H460" s="208"/>
      <c r="I460" s="208"/>
      <c r="J460" s="208"/>
      <c r="K460" s="208"/>
      <c r="L460" s="208"/>
      <c r="M460" s="208"/>
      <c r="N460" s="208"/>
      <c r="O460" s="208"/>
      <c r="P460" s="208"/>
      <c r="Q460" s="208"/>
      <c r="R460" s="208"/>
      <c r="S460" s="208"/>
      <c r="T460" s="208"/>
      <c r="U460" s="208"/>
      <c r="V460" s="208"/>
      <c r="W460" s="208"/>
      <c r="X460" s="208"/>
      <c r="Y460" s="208"/>
      <c r="Z460" s="208"/>
    </row>
    <row r="461" ht="12.0" customHeight="1">
      <c r="A461" s="208"/>
      <c r="B461" s="208"/>
      <c r="C461" s="208"/>
      <c r="D461" s="208"/>
      <c r="E461" s="208"/>
      <c r="F461" s="208"/>
      <c r="G461" s="208"/>
      <c r="H461" s="208"/>
      <c r="I461" s="208"/>
      <c r="J461" s="208"/>
      <c r="K461" s="208"/>
      <c r="L461" s="208"/>
      <c r="M461" s="208"/>
      <c r="N461" s="208"/>
      <c r="O461" s="208"/>
      <c r="P461" s="208"/>
      <c r="Q461" s="208"/>
      <c r="R461" s="208"/>
      <c r="S461" s="208"/>
      <c r="T461" s="208"/>
      <c r="U461" s="208"/>
      <c r="V461" s="208"/>
      <c r="W461" s="208"/>
      <c r="X461" s="208"/>
      <c r="Y461" s="208"/>
      <c r="Z461" s="208"/>
    </row>
    <row r="462" ht="12.0" customHeight="1">
      <c r="A462" s="208"/>
      <c r="B462" s="208"/>
      <c r="C462" s="208"/>
      <c r="D462" s="208"/>
      <c r="E462" s="208"/>
      <c r="F462" s="208"/>
      <c r="G462" s="208"/>
      <c r="H462" s="208"/>
      <c r="I462" s="208"/>
      <c r="J462" s="208"/>
      <c r="K462" s="208"/>
      <c r="L462" s="208"/>
      <c r="M462" s="208"/>
      <c r="N462" s="208"/>
      <c r="O462" s="208"/>
      <c r="P462" s="208"/>
      <c r="Q462" s="208"/>
      <c r="R462" s="208"/>
      <c r="S462" s="208"/>
      <c r="T462" s="208"/>
      <c r="U462" s="208"/>
      <c r="V462" s="208"/>
      <c r="W462" s="208"/>
      <c r="X462" s="208"/>
      <c r="Y462" s="208"/>
      <c r="Z462" s="208"/>
    </row>
    <row r="463" ht="12.0" customHeight="1">
      <c r="A463" s="208"/>
      <c r="B463" s="208"/>
      <c r="C463" s="208"/>
      <c r="D463" s="208"/>
      <c r="E463" s="208"/>
      <c r="F463" s="208"/>
      <c r="G463" s="208"/>
      <c r="H463" s="208"/>
      <c r="I463" s="208"/>
      <c r="J463" s="208"/>
      <c r="K463" s="208"/>
      <c r="L463" s="208"/>
      <c r="M463" s="208"/>
      <c r="N463" s="208"/>
      <c r="O463" s="208"/>
      <c r="P463" s="208"/>
      <c r="Q463" s="208"/>
      <c r="R463" s="208"/>
      <c r="S463" s="208"/>
      <c r="T463" s="208"/>
      <c r="U463" s="208"/>
      <c r="V463" s="208"/>
      <c r="W463" s="208"/>
      <c r="X463" s="208"/>
      <c r="Y463" s="208"/>
      <c r="Z463" s="208"/>
    </row>
    <row r="464" ht="12.0" customHeight="1">
      <c r="A464" s="208"/>
      <c r="B464" s="208"/>
      <c r="C464" s="208"/>
      <c r="D464" s="208"/>
      <c r="E464" s="208"/>
      <c r="F464" s="208"/>
      <c r="G464" s="208"/>
      <c r="H464" s="208"/>
      <c r="I464" s="208"/>
      <c r="J464" s="208"/>
      <c r="K464" s="208"/>
      <c r="L464" s="208"/>
      <c r="M464" s="208"/>
      <c r="N464" s="208"/>
      <c r="O464" s="208"/>
      <c r="P464" s="208"/>
      <c r="Q464" s="208"/>
      <c r="R464" s="208"/>
      <c r="S464" s="208"/>
      <c r="T464" s="208"/>
      <c r="U464" s="208"/>
      <c r="V464" s="208"/>
      <c r="W464" s="208"/>
      <c r="X464" s="208"/>
      <c r="Y464" s="208"/>
      <c r="Z464" s="208"/>
    </row>
    <row r="465" ht="12.0" customHeight="1">
      <c r="A465" s="208"/>
      <c r="B465" s="208"/>
      <c r="C465" s="208"/>
      <c r="D465" s="208"/>
      <c r="E465" s="208"/>
      <c r="F465" s="208"/>
      <c r="G465" s="208"/>
      <c r="H465" s="208"/>
      <c r="I465" s="208"/>
      <c r="J465" s="208"/>
      <c r="K465" s="208"/>
      <c r="L465" s="208"/>
      <c r="M465" s="208"/>
      <c r="N465" s="208"/>
      <c r="O465" s="208"/>
      <c r="P465" s="208"/>
      <c r="Q465" s="208"/>
      <c r="R465" s="208"/>
      <c r="S465" s="208"/>
      <c r="T465" s="208"/>
      <c r="U465" s="208"/>
      <c r="V465" s="208"/>
      <c r="W465" s="208"/>
      <c r="X465" s="208"/>
      <c r="Y465" s="208"/>
      <c r="Z465" s="208"/>
    </row>
    <row r="466" ht="12.0" customHeight="1">
      <c r="A466" s="208"/>
      <c r="B466" s="208"/>
      <c r="C466" s="208"/>
      <c r="D466" s="208"/>
      <c r="E466" s="208"/>
      <c r="F466" s="208"/>
      <c r="G466" s="208"/>
      <c r="H466" s="208"/>
      <c r="I466" s="208"/>
      <c r="J466" s="208"/>
      <c r="K466" s="208"/>
      <c r="L466" s="208"/>
      <c r="M466" s="208"/>
      <c r="N466" s="208"/>
      <c r="O466" s="208"/>
      <c r="P466" s="208"/>
      <c r="Q466" s="208"/>
      <c r="R466" s="208"/>
      <c r="S466" s="208"/>
      <c r="T466" s="208"/>
      <c r="U466" s="208"/>
      <c r="V466" s="208"/>
      <c r="W466" s="208"/>
      <c r="X466" s="208"/>
      <c r="Y466" s="208"/>
      <c r="Z466" s="208"/>
    </row>
    <row r="467" ht="12.0" customHeight="1">
      <c r="A467" s="208"/>
      <c r="B467" s="208"/>
      <c r="C467" s="208"/>
      <c r="D467" s="208"/>
      <c r="E467" s="208"/>
      <c r="F467" s="208"/>
      <c r="G467" s="208"/>
      <c r="H467" s="208"/>
      <c r="I467" s="208"/>
      <c r="J467" s="208"/>
      <c r="K467" s="208"/>
      <c r="L467" s="208"/>
      <c r="M467" s="208"/>
      <c r="N467" s="208"/>
      <c r="O467" s="208"/>
      <c r="P467" s="208"/>
      <c r="Q467" s="208"/>
      <c r="R467" s="208"/>
      <c r="S467" s="208"/>
      <c r="T467" s="208"/>
      <c r="U467" s="208"/>
      <c r="V467" s="208"/>
      <c r="W467" s="208"/>
      <c r="X467" s="208"/>
      <c r="Y467" s="208"/>
      <c r="Z467" s="208"/>
    </row>
    <row r="468" ht="12.0" customHeight="1">
      <c r="A468" s="208"/>
      <c r="B468" s="208"/>
      <c r="C468" s="208"/>
      <c r="D468" s="208"/>
      <c r="E468" s="208"/>
      <c r="F468" s="208"/>
      <c r="G468" s="208"/>
      <c r="H468" s="208"/>
      <c r="I468" s="208"/>
      <c r="J468" s="208"/>
      <c r="K468" s="208"/>
      <c r="L468" s="208"/>
      <c r="M468" s="208"/>
      <c r="N468" s="208"/>
      <c r="O468" s="208"/>
      <c r="P468" s="208"/>
      <c r="Q468" s="208"/>
      <c r="R468" s="208"/>
      <c r="S468" s="208"/>
      <c r="T468" s="208"/>
      <c r="U468" s="208"/>
      <c r="V468" s="208"/>
      <c r="W468" s="208"/>
      <c r="X468" s="208"/>
      <c r="Y468" s="208"/>
      <c r="Z468" s="208"/>
    </row>
    <row r="469" ht="12.0" customHeight="1">
      <c r="A469" s="208"/>
      <c r="B469" s="208"/>
      <c r="C469" s="208"/>
      <c r="D469" s="208"/>
      <c r="E469" s="208"/>
      <c r="F469" s="208"/>
      <c r="G469" s="208"/>
      <c r="H469" s="208"/>
      <c r="I469" s="208"/>
      <c r="J469" s="208"/>
      <c r="K469" s="208"/>
      <c r="L469" s="208"/>
      <c r="M469" s="208"/>
      <c r="N469" s="208"/>
      <c r="O469" s="208"/>
      <c r="P469" s="208"/>
      <c r="Q469" s="208"/>
      <c r="R469" s="208"/>
      <c r="S469" s="208"/>
      <c r="T469" s="208"/>
      <c r="U469" s="208"/>
      <c r="V469" s="208"/>
      <c r="W469" s="208"/>
      <c r="X469" s="208"/>
      <c r="Y469" s="208"/>
      <c r="Z469" s="208"/>
    </row>
    <row r="470" ht="12.0" customHeight="1">
      <c r="A470" s="208"/>
      <c r="B470" s="208"/>
      <c r="C470" s="208"/>
      <c r="D470" s="208"/>
      <c r="E470" s="208"/>
      <c r="F470" s="208"/>
      <c r="G470" s="208"/>
      <c r="H470" s="208"/>
      <c r="I470" s="208"/>
      <c r="J470" s="208"/>
      <c r="K470" s="208"/>
      <c r="L470" s="208"/>
      <c r="M470" s="208"/>
      <c r="N470" s="208"/>
      <c r="O470" s="208"/>
      <c r="P470" s="208"/>
      <c r="Q470" s="208"/>
      <c r="R470" s="208"/>
      <c r="S470" s="208"/>
      <c r="T470" s="208"/>
      <c r="U470" s="208"/>
      <c r="V470" s="208"/>
      <c r="W470" s="208"/>
      <c r="X470" s="208"/>
      <c r="Y470" s="208"/>
      <c r="Z470" s="208"/>
    </row>
    <row r="471" ht="12.0" customHeight="1">
      <c r="A471" s="208"/>
      <c r="B471" s="208"/>
      <c r="C471" s="208"/>
      <c r="D471" s="208"/>
      <c r="E471" s="208"/>
      <c r="F471" s="208"/>
      <c r="G471" s="208"/>
      <c r="H471" s="208"/>
      <c r="I471" s="208"/>
      <c r="J471" s="208"/>
      <c r="K471" s="208"/>
      <c r="L471" s="208"/>
      <c r="M471" s="208"/>
      <c r="N471" s="208"/>
      <c r="O471" s="208"/>
      <c r="P471" s="208"/>
      <c r="Q471" s="208"/>
      <c r="R471" s="208"/>
      <c r="S471" s="208"/>
      <c r="T471" s="208"/>
      <c r="U471" s="208"/>
      <c r="V471" s="208"/>
      <c r="W471" s="208"/>
      <c r="X471" s="208"/>
      <c r="Y471" s="208"/>
      <c r="Z471" s="208"/>
    </row>
    <row r="472" ht="12.0" customHeight="1">
      <c r="A472" s="208"/>
      <c r="B472" s="208"/>
      <c r="C472" s="208"/>
      <c r="D472" s="208"/>
      <c r="E472" s="208"/>
      <c r="F472" s="208"/>
      <c r="G472" s="208"/>
      <c r="H472" s="208"/>
      <c r="I472" s="208"/>
      <c r="J472" s="208"/>
      <c r="K472" s="208"/>
      <c r="L472" s="208"/>
      <c r="M472" s="208"/>
      <c r="N472" s="208"/>
      <c r="O472" s="208"/>
      <c r="P472" s="208"/>
      <c r="Q472" s="208"/>
      <c r="R472" s="208"/>
      <c r="S472" s="208"/>
      <c r="T472" s="208"/>
      <c r="U472" s="208"/>
      <c r="V472" s="208"/>
      <c r="W472" s="208"/>
      <c r="X472" s="208"/>
      <c r="Y472" s="208"/>
      <c r="Z472" s="208"/>
    </row>
    <row r="473" ht="12.0" customHeight="1">
      <c r="A473" s="208"/>
      <c r="B473" s="208"/>
      <c r="C473" s="208"/>
      <c r="D473" s="208"/>
      <c r="E473" s="208"/>
      <c r="F473" s="208"/>
      <c r="G473" s="208"/>
      <c r="H473" s="208"/>
      <c r="I473" s="208"/>
      <c r="J473" s="208"/>
      <c r="K473" s="208"/>
      <c r="L473" s="208"/>
      <c r="M473" s="208"/>
      <c r="N473" s="208"/>
      <c r="O473" s="208"/>
      <c r="P473" s="208"/>
      <c r="Q473" s="208"/>
      <c r="R473" s="208"/>
      <c r="S473" s="208"/>
      <c r="T473" s="208"/>
      <c r="U473" s="208"/>
      <c r="V473" s="208"/>
      <c r="W473" s="208"/>
      <c r="X473" s="208"/>
      <c r="Y473" s="208"/>
      <c r="Z473" s="208"/>
    </row>
    <row r="474" ht="12.0" customHeight="1">
      <c r="A474" s="208"/>
      <c r="B474" s="208"/>
      <c r="C474" s="208"/>
      <c r="D474" s="208"/>
      <c r="E474" s="208"/>
      <c r="F474" s="208"/>
      <c r="G474" s="208"/>
      <c r="H474" s="208"/>
      <c r="I474" s="208"/>
      <c r="J474" s="208"/>
      <c r="K474" s="208"/>
      <c r="L474" s="208"/>
      <c r="M474" s="208"/>
      <c r="N474" s="208"/>
      <c r="O474" s="208"/>
      <c r="P474" s="208"/>
      <c r="Q474" s="208"/>
      <c r="R474" s="208"/>
      <c r="S474" s="208"/>
      <c r="T474" s="208"/>
      <c r="U474" s="208"/>
      <c r="V474" s="208"/>
      <c r="W474" s="208"/>
      <c r="X474" s="208"/>
      <c r="Y474" s="208"/>
      <c r="Z474" s="208"/>
    </row>
    <row r="475" ht="12.0" customHeight="1">
      <c r="A475" s="208"/>
      <c r="B475" s="208"/>
      <c r="C475" s="208"/>
      <c r="D475" s="208"/>
      <c r="E475" s="208"/>
      <c r="F475" s="208"/>
      <c r="G475" s="208"/>
      <c r="H475" s="208"/>
      <c r="I475" s="208"/>
      <c r="J475" s="208"/>
      <c r="K475" s="208"/>
      <c r="L475" s="208"/>
      <c r="M475" s="208"/>
      <c r="N475" s="208"/>
      <c r="O475" s="208"/>
      <c r="P475" s="208"/>
      <c r="Q475" s="208"/>
      <c r="R475" s="208"/>
      <c r="S475" s="208"/>
      <c r="T475" s="208"/>
      <c r="U475" s="208"/>
      <c r="V475" s="208"/>
      <c r="W475" s="208"/>
      <c r="X475" s="208"/>
      <c r="Y475" s="208"/>
      <c r="Z475" s="208"/>
    </row>
    <row r="476" ht="12.0" customHeight="1">
      <c r="A476" s="208"/>
      <c r="B476" s="208"/>
      <c r="C476" s="208"/>
      <c r="D476" s="208"/>
      <c r="E476" s="208"/>
      <c r="F476" s="208"/>
      <c r="G476" s="208"/>
      <c r="H476" s="208"/>
      <c r="I476" s="208"/>
      <c r="J476" s="208"/>
      <c r="K476" s="208"/>
      <c r="L476" s="208"/>
      <c r="M476" s="208"/>
      <c r="N476" s="208"/>
      <c r="O476" s="208"/>
      <c r="P476" s="208"/>
      <c r="Q476" s="208"/>
      <c r="R476" s="208"/>
      <c r="S476" s="208"/>
      <c r="T476" s="208"/>
      <c r="U476" s="208"/>
      <c r="V476" s="208"/>
      <c r="W476" s="208"/>
      <c r="X476" s="208"/>
      <c r="Y476" s="208"/>
      <c r="Z476" s="208"/>
    </row>
    <row r="477" ht="12.0" customHeight="1">
      <c r="A477" s="208"/>
      <c r="B477" s="208"/>
      <c r="C477" s="208"/>
      <c r="D477" s="208"/>
      <c r="E477" s="208"/>
      <c r="F477" s="208"/>
      <c r="G477" s="208"/>
      <c r="H477" s="208"/>
      <c r="I477" s="208"/>
      <c r="J477" s="208"/>
      <c r="K477" s="208"/>
      <c r="L477" s="208"/>
      <c r="M477" s="208"/>
      <c r="N477" s="208"/>
      <c r="O477" s="208"/>
      <c r="P477" s="208"/>
      <c r="Q477" s="208"/>
      <c r="R477" s="208"/>
      <c r="S477" s="208"/>
      <c r="T477" s="208"/>
      <c r="U477" s="208"/>
      <c r="V477" s="208"/>
      <c r="W477" s="208"/>
      <c r="X477" s="208"/>
      <c r="Y477" s="208"/>
      <c r="Z477" s="208"/>
    </row>
    <row r="478" ht="12.0" customHeight="1">
      <c r="A478" s="208"/>
      <c r="B478" s="208"/>
      <c r="C478" s="208"/>
      <c r="D478" s="208"/>
      <c r="E478" s="208"/>
      <c r="F478" s="208"/>
      <c r="G478" s="208"/>
      <c r="H478" s="208"/>
      <c r="I478" s="208"/>
      <c r="J478" s="208"/>
      <c r="K478" s="208"/>
      <c r="L478" s="208"/>
      <c r="M478" s="208"/>
      <c r="N478" s="208"/>
      <c r="O478" s="208"/>
      <c r="P478" s="208"/>
      <c r="Q478" s="208"/>
      <c r="R478" s="208"/>
      <c r="S478" s="208"/>
      <c r="T478" s="208"/>
      <c r="U478" s="208"/>
      <c r="V478" s="208"/>
      <c r="W478" s="208"/>
      <c r="X478" s="208"/>
      <c r="Y478" s="208"/>
      <c r="Z478" s="208"/>
    </row>
    <row r="479" ht="12.0" customHeight="1">
      <c r="A479" s="208"/>
      <c r="B479" s="208"/>
      <c r="C479" s="208"/>
      <c r="D479" s="208"/>
      <c r="E479" s="208"/>
      <c r="F479" s="208"/>
      <c r="G479" s="208"/>
      <c r="H479" s="208"/>
      <c r="I479" s="208"/>
      <c r="J479" s="208"/>
      <c r="K479" s="208"/>
      <c r="L479" s="208"/>
      <c r="M479" s="208"/>
      <c r="N479" s="208"/>
      <c r="O479" s="208"/>
      <c r="P479" s="208"/>
      <c r="Q479" s="208"/>
      <c r="R479" s="208"/>
      <c r="S479" s="208"/>
      <c r="T479" s="208"/>
      <c r="U479" s="208"/>
      <c r="V479" s="208"/>
      <c r="W479" s="208"/>
      <c r="X479" s="208"/>
      <c r="Y479" s="208"/>
      <c r="Z479" s="208"/>
    </row>
    <row r="480" ht="12.0" customHeight="1">
      <c r="A480" s="208"/>
      <c r="B480" s="208"/>
      <c r="C480" s="208"/>
      <c r="D480" s="208"/>
      <c r="E480" s="208"/>
      <c r="F480" s="208"/>
      <c r="G480" s="208"/>
      <c r="H480" s="208"/>
      <c r="I480" s="208"/>
      <c r="J480" s="208"/>
      <c r="K480" s="208"/>
      <c r="L480" s="208"/>
      <c r="M480" s="208"/>
      <c r="N480" s="208"/>
      <c r="O480" s="208"/>
      <c r="P480" s="208"/>
      <c r="Q480" s="208"/>
      <c r="R480" s="208"/>
      <c r="S480" s="208"/>
      <c r="T480" s="208"/>
      <c r="U480" s="208"/>
      <c r="V480" s="208"/>
      <c r="W480" s="208"/>
      <c r="X480" s="208"/>
      <c r="Y480" s="208"/>
      <c r="Z480" s="208"/>
    </row>
    <row r="481" ht="12.0" customHeight="1">
      <c r="A481" s="208"/>
      <c r="B481" s="208"/>
      <c r="C481" s="208"/>
      <c r="D481" s="208"/>
      <c r="E481" s="208"/>
      <c r="F481" s="208"/>
      <c r="G481" s="208"/>
      <c r="H481" s="208"/>
      <c r="I481" s="208"/>
      <c r="J481" s="208"/>
      <c r="K481" s="208"/>
      <c r="L481" s="208"/>
      <c r="M481" s="208"/>
      <c r="N481" s="208"/>
      <c r="O481" s="208"/>
      <c r="P481" s="208"/>
      <c r="Q481" s="208"/>
      <c r="R481" s="208"/>
      <c r="S481" s="208"/>
      <c r="T481" s="208"/>
      <c r="U481" s="208"/>
      <c r="V481" s="208"/>
      <c r="W481" s="208"/>
      <c r="X481" s="208"/>
      <c r="Y481" s="208"/>
      <c r="Z481" s="208"/>
    </row>
    <row r="482" ht="12.0" customHeight="1">
      <c r="A482" s="208"/>
      <c r="B482" s="208"/>
      <c r="C482" s="208"/>
      <c r="D482" s="208"/>
      <c r="E482" s="208"/>
      <c r="F482" s="208"/>
      <c r="G482" s="208"/>
      <c r="H482" s="208"/>
      <c r="I482" s="208"/>
      <c r="J482" s="208"/>
      <c r="K482" s="208"/>
      <c r="L482" s="208"/>
      <c r="M482" s="208"/>
      <c r="N482" s="208"/>
      <c r="O482" s="208"/>
      <c r="P482" s="208"/>
      <c r="Q482" s="208"/>
      <c r="R482" s="208"/>
      <c r="S482" s="208"/>
      <c r="T482" s="208"/>
      <c r="U482" s="208"/>
      <c r="V482" s="208"/>
      <c r="W482" s="208"/>
      <c r="X482" s="208"/>
      <c r="Y482" s="208"/>
      <c r="Z482" s="208"/>
    </row>
    <row r="483" ht="12.0" customHeight="1">
      <c r="A483" s="208"/>
      <c r="B483" s="208"/>
      <c r="C483" s="208"/>
      <c r="D483" s="208"/>
      <c r="E483" s="208"/>
      <c r="F483" s="208"/>
      <c r="G483" s="208"/>
      <c r="H483" s="208"/>
      <c r="I483" s="208"/>
      <c r="J483" s="208"/>
      <c r="K483" s="208"/>
      <c r="L483" s="208"/>
      <c r="M483" s="208"/>
      <c r="N483" s="208"/>
      <c r="O483" s="208"/>
      <c r="P483" s="208"/>
      <c r="Q483" s="208"/>
      <c r="R483" s="208"/>
      <c r="S483" s="208"/>
      <c r="T483" s="208"/>
      <c r="U483" s="208"/>
      <c r="V483" s="208"/>
      <c r="W483" s="208"/>
      <c r="X483" s="208"/>
      <c r="Y483" s="208"/>
      <c r="Z483" s="208"/>
    </row>
    <row r="484" ht="12.0" customHeight="1">
      <c r="A484" s="208"/>
      <c r="B484" s="208"/>
      <c r="C484" s="208"/>
      <c r="D484" s="208"/>
      <c r="E484" s="208"/>
      <c r="F484" s="208"/>
      <c r="G484" s="208"/>
      <c r="H484" s="208"/>
      <c r="I484" s="208"/>
      <c r="J484" s="208"/>
      <c r="K484" s="208"/>
      <c r="L484" s="208"/>
      <c r="M484" s="208"/>
      <c r="N484" s="208"/>
      <c r="O484" s="208"/>
      <c r="P484" s="208"/>
      <c r="Q484" s="208"/>
      <c r="R484" s="208"/>
      <c r="S484" s="208"/>
      <c r="T484" s="208"/>
      <c r="U484" s="208"/>
      <c r="V484" s="208"/>
      <c r="W484" s="208"/>
      <c r="X484" s="208"/>
      <c r="Y484" s="208"/>
      <c r="Z484" s="208"/>
    </row>
    <row r="485" ht="12.0" customHeight="1">
      <c r="A485" s="208"/>
      <c r="B485" s="208"/>
      <c r="C485" s="208"/>
      <c r="D485" s="208"/>
      <c r="E485" s="208"/>
      <c r="F485" s="208"/>
      <c r="G485" s="208"/>
      <c r="H485" s="208"/>
      <c r="I485" s="208"/>
      <c r="J485" s="208"/>
      <c r="K485" s="208"/>
      <c r="L485" s="208"/>
      <c r="M485" s="208"/>
      <c r="N485" s="208"/>
      <c r="O485" s="208"/>
      <c r="P485" s="208"/>
      <c r="Q485" s="208"/>
      <c r="R485" s="208"/>
      <c r="S485" s="208"/>
      <c r="T485" s="208"/>
      <c r="U485" s="208"/>
      <c r="V485" s="208"/>
      <c r="W485" s="208"/>
      <c r="X485" s="208"/>
      <c r="Y485" s="208"/>
      <c r="Z485" s="208"/>
    </row>
    <row r="486" ht="12.0" customHeight="1">
      <c r="A486" s="208"/>
      <c r="B486" s="208"/>
      <c r="C486" s="208"/>
      <c r="D486" s="208"/>
      <c r="E486" s="208"/>
      <c r="F486" s="208"/>
      <c r="G486" s="208"/>
      <c r="H486" s="208"/>
      <c r="I486" s="208"/>
      <c r="J486" s="208"/>
      <c r="K486" s="208"/>
      <c r="L486" s="208"/>
      <c r="M486" s="208"/>
      <c r="N486" s="208"/>
      <c r="O486" s="208"/>
      <c r="P486" s="208"/>
      <c r="Q486" s="208"/>
      <c r="R486" s="208"/>
      <c r="S486" s="208"/>
      <c r="T486" s="208"/>
      <c r="U486" s="208"/>
      <c r="V486" s="208"/>
      <c r="W486" s="208"/>
      <c r="X486" s="208"/>
      <c r="Y486" s="208"/>
      <c r="Z486" s="208"/>
    </row>
    <row r="487" ht="12.0" customHeight="1">
      <c r="A487" s="208"/>
      <c r="B487" s="208"/>
      <c r="C487" s="208"/>
      <c r="D487" s="208"/>
      <c r="E487" s="208"/>
      <c r="F487" s="208"/>
      <c r="G487" s="208"/>
      <c r="H487" s="208"/>
      <c r="I487" s="208"/>
      <c r="J487" s="208"/>
      <c r="K487" s="208"/>
      <c r="L487" s="208"/>
      <c r="M487" s="208"/>
      <c r="N487" s="208"/>
      <c r="O487" s="208"/>
      <c r="P487" s="208"/>
      <c r="Q487" s="208"/>
      <c r="R487" s="208"/>
      <c r="S487" s="208"/>
      <c r="T487" s="208"/>
      <c r="U487" s="208"/>
      <c r="V487" s="208"/>
      <c r="W487" s="208"/>
      <c r="X487" s="208"/>
      <c r="Y487" s="208"/>
      <c r="Z487" s="208"/>
    </row>
    <row r="488" ht="12.0" customHeight="1">
      <c r="A488" s="208"/>
      <c r="B488" s="208"/>
      <c r="C488" s="208"/>
      <c r="D488" s="208"/>
      <c r="E488" s="208"/>
      <c r="F488" s="208"/>
      <c r="G488" s="208"/>
      <c r="H488" s="208"/>
      <c r="I488" s="208"/>
      <c r="J488" s="208"/>
      <c r="K488" s="208"/>
      <c r="L488" s="208"/>
      <c r="M488" s="208"/>
      <c r="N488" s="208"/>
      <c r="O488" s="208"/>
      <c r="P488" s="208"/>
      <c r="Q488" s="208"/>
      <c r="R488" s="208"/>
      <c r="S488" s="208"/>
      <c r="T488" s="208"/>
      <c r="U488" s="208"/>
      <c r="V488" s="208"/>
      <c r="W488" s="208"/>
      <c r="X488" s="208"/>
      <c r="Y488" s="208"/>
      <c r="Z488" s="208"/>
    </row>
    <row r="489" ht="12.0" customHeight="1">
      <c r="A489" s="208"/>
      <c r="B489" s="208"/>
      <c r="C489" s="208"/>
      <c r="D489" s="208"/>
      <c r="E489" s="208"/>
      <c r="F489" s="208"/>
      <c r="G489" s="208"/>
      <c r="H489" s="208"/>
      <c r="I489" s="208"/>
      <c r="J489" s="208"/>
      <c r="K489" s="208"/>
      <c r="L489" s="208"/>
      <c r="M489" s="208"/>
      <c r="N489" s="208"/>
      <c r="O489" s="208"/>
      <c r="P489" s="208"/>
      <c r="Q489" s="208"/>
      <c r="R489" s="208"/>
      <c r="S489" s="208"/>
      <c r="T489" s="208"/>
      <c r="U489" s="208"/>
      <c r="V489" s="208"/>
      <c r="W489" s="208"/>
      <c r="X489" s="208"/>
      <c r="Y489" s="208"/>
      <c r="Z489" s="208"/>
    </row>
    <row r="490" ht="12.0" customHeight="1">
      <c r="A490" s="208"/>
      <c r="B490" s="208"/>
      <c r="C490" s="208"/>
      <c r="D490" s="208"/>
      <c r="E490" s="208"/>
      <c r="F490" s="208"/>
      <c r="G490" s="208"/>
      <c r="H490" s="208"/>
      <c r="I490" s="208"/>
      <c r="J490" s="208"/>
      <c r="K490" s="208"/>
      <c r="L490" s="208"/>
      <c r="M490" s="208"/>
      <c r="N490" s="208"/>
      <c r="O490" s="208"/>
      <c r="P490" s="208"/>
      <c r="Q490" s="208"/>
      <c r="R490" s="208"/>
      <c r="S490" s="208"/>
      <c r="T490" s="208"/>
      <c r="U490" s="208"/>
      <c r="V490" s="208"/>
      <c r="W490" s="208"/>
      <c r="X490" s="208"/>
      <c r="Y490" s="208"/>
      <c r="Z490" s="208"/>
    </row>
    <row r="491" ht="12.0" customHeight="1">
      <c r="A491" s="208"/>
      <c r="B491" s="208"/>
      <c r="C491" s="208"/>
      <c r="D491" s="208"/>
      <c r="E491" s="208"/>
      <c r="F491" s="208"/>
      <c r="G491" s="208"/>
      <c r="H491" s="208"/>
      <c r="I491" s="208"/>
      <c r="J491" s="208"/>
      <c r="K491" s="208"/>
      <c r="L491" s="208"/>
      <c r="M491" s="208"/>
      <c r="N491" s="208"/>
      <c r="O491" s="208"/>
      <c r="P491" s="208"/>
      <c r="Q491" s="208"/>
      <c r="R491" s="208"/>
      <c r="S491" s="208"/>
      <c r="T491" s="208"/>
      <c r="U491" s="208"/>
      <c r="V491" s="208"/>
      <c r="W491" s="208"/>
      <c r="X491" s="208"/>
      <c r="Y491" s="208"/>
      <c r="Z491" s="208"/>
    </row>
    <row r="492" ht="12.0" customHeight="1">
      <c r="A492" s="208"/>
      <c r="B492" s="208"/>
      <c r="C492" s="208"/>
      <c r="D492" s="208"/>
      <c r="E492" s="208"/>
      <c r="F492" s="208"/>
      <c r="G492" s="208"/>
      <c r="H492" s="208"/>
      <c r="I492" s="208"/>
      <c r="J492" s="208"/>
      <c r="K492" s="208"/>
      <c r="L492" s="208"/>
      <c r="M492" s="208"/>
      <c r="N492" s="208"/>
      <c r="O492" s="208"/>
      <c r="P492" s="208"/>
      <c r="Q492" s="208"/>
      <c r="R492" s="208"/>
      <c r="S492" s="208"/>
      <c r="T492" s="208"/>
      <c r="U492" s="208"/>
      <c r="V492" s="208"/>
      <c r="W492" s="208"/>
      <c r="X492" s="208"/>
      <c r="Y492" s="208"/>
      <c r="Z492" s="208"/>
    </row>
    <row r="493" ht="12.0" customHeight="1">
      <c r="A493" s="208"/>
      <c r="B493" s="208"/>
      <c r="C493" s="208"/>
      <c r="D493" s="208"/>
      <c r="E493" s="208"/>
      <c r="F493" s="208"/>
      <c r="G493" s="208"/>
      <c r="H493" s="208"/>
      <c r="I493" s="208"/>
      <c r="J493" s="208"/>
      <c r="K493" s="208"/>
      <c r="L493" s="208"/>
      <c r="M493" s="208"/>
      <c r="N493" s="208"/>
      <c r="O493" s="208"/>
      <c r="P493" s="208"/>
      <c r="Q493" s="208"/>
      <c r="R493" s="208"/>
      <c r="S493" s="208"/>
      <c r="T493" s="208"/>
      <c r="U493" s="208"/>
      <c r="V493" s="208"/>
      <c r="W493" s="208"/>
      <c r="X493" s="208"/>
      <c r="Y493" s="208"/>
      <c r="Z493" s="208"/>
    </row>
    <row r="494" ht="12.0" customHeight="1">
      <c r="A494" s="208"/>
      <c r="B494" s="208"/>
      <c r="C494" s="208"/>
      <c r="D494" s="208"/>
      <c r="E494" s="208"/>
      <c r="F494" s="208"/>
      <c r="G494" s="208"/>
      <c r="H494" s="208"/>
      <c r="I494" s="208"/>
      <c r="J494" s="208"/>
      <c r="K494" s="208"/>
      <c r="L494" s="208"/>
      <c r="M494" s="208"/>
      <c r="N494" s="208"/>
      <c r="O494" s="208"/>
      <c r="P494" s="208"/>
      <c r="Q494" s="208"/>
      <c r="R494" s="208"/>
      <c r="S494" s="208"/>
      <c r="T494" s="208"/>
      <c r="U494" s="208"/>
      <c r="V494" s="208"/>
      <c r="W494" s="208"/>
      <c r="X494" s="208"/>
      <c r="Y494" s="208"/>
      <c r="Z494" s="208"/>
    </row>
    <row r="495" ht="12.0" customHeight="1">
      <c r="A495" s="208"/>
      <c r="B495" s="208"/>
      <c r="C495" s="208"/>
      <c r="D495" s="208"/>
      <c r="E495" s="208"/>
      <c r="F495" s="208"/>
      <c r="G495" s="208"/>
      <c r="H495" s="208"/>
      <c r="I495" s="208"/>
      <c r="J495" s="208"/>
      <c r="K495" s="208"/>
      <c r="L495" s="208"/>
      <c r="M495" s="208"/>
      <c r="N495" s="208"/>
      <c r="O495" s="208"/>
      <c r="P495" s="208"/>
      <c r="Q495" s="208"/>
      <c r="R495" s="208"/>
      <c r="S495" s="208"/>
      <c r="T495" s="208"/>
      <c r="U495" s="208"/>
      <c r="V495" s="208"/>
      <c r="W495" s="208"/>
      <c r="X495" s="208"/>
      <c r="Y495" s="208"/>
      <c r="Z495" s="208"/>
    </row>
    <row r="496" ht="12.0" customHeight="1">
      <c r="A496" s="208"/>
      <c r="B496" s="208"/>
      <c r="C496" s="208"/>
      <c r="D496" s="208"/>
      <c r="E496" s="208"/>
      <c r="F496" s="208"/>
      <c r="G496" s="208"/>
      <c r="H496" s="208"/>
      <c r="I496" s="208"/>
      <c r="J496" s="208"/>
      <c r="K496" s="208"/>
      <c r="L496" s="208"/>
      <c r="M496" s="208"/>
      <c r="N496" s="208"/>
      <c r="O496" s="208"/>
      <c r="P496" s="208"/>
      <c r="Q496" s="208"/>
      <c r="R496" s="208"/>
      <c r="S496" s="208"/>
      <c r="T496" s="208"/>
      <c r="U496" s="208"/>
      <c r="V496" s="208"/>
      <c r="W496" s="208"/>
      <c r="X496" s="208"/>
      <c r="Y496" s="208"/>
      <c r="Z496" s="208"/>
    </row>
    <row r="497" ht="12.0" customHeight="1">
      <c r="A497" s="208"/>
      <c r="B497" s="208"/>
      <c r="C497" s="208"/>
      <c r="D497" s="208"/>
      <c r="E497" s="208"/>
      <c r="F497" s="208"/>
      <c r="G497" s="208"/>
      <c r="H497" s="208"/>
      <c r="I497" s="208"/>
      <c r="J497" s="208"/>
      <c r="K497" s="208"/>
      <c r="L497" s="208"/>
      <c r="M497" s="208"/>
      <c r="N497" s="208"/>
      <c r="O497" s="208"/>
      <c r="P497" s="208"/>
      <c r="Q497" s="208"/>
      <c r="R497" s="208"/>
      <c r="S497" s="208"/>
      <c r="T497" s="208"/>
      <c r="U497" s="208"/>
      <c r="V497" s="208"/>
      <c r="W497" s="208"/>
      <c r="X497" s="208"/>
      <c r="Y497" s="208"/>
      <c r="Z497" s="208"/>
    </row>
    <row r="498" ht="12.0" customHeight="1">
      <c r="A498" s="208"/>
      <c r="B498" s="208"/>
      <c r="C498" s="208"/>
      <c r="D498" s="208"/>
      <c r="E498" s="208"/>
      <c r="F498" s="208"/>
      <c r="G498" s="208"/>
      <c r="H498" s="208"/>
      <c r="I498" s="208"/>
      <c r="J498" s="208"/>
      <c r="K498" s="208"/>
      <c r="L498" s="208"/>
      <c r="M498" s="208"/>
      <c r="N498" s="208"/>
      <c r="O498" s="208"/>
      <c r="P498" s="208"/>
      <c r="Q498" s="208"/>
      <c r="R498" s="208"/>
      <c r="S498" s="208"/>
      <c r="T498" s="208"/>
      <c r="U498" s="208"/>
      <c r="V498" s="208"/>
      <c r="W498" s="208"/>
      <c r="X498" s="208"/>
      <c r="Y498" s="208"/>
      <c r="Z498" s="208"/>
    </row>
    <row r="499" ht="12.0" customHeight="1">
      <c r="A499" s="208"/>
      <c r="B499" s="208"/>
      <c r="C499" s="208"/>
      <c r="D499" s="208"/>
      <c r="E499" s="208"/>
      <c r="F499" s="208"/>
      <c r="G499" s="208"/>
      <c r="H499" s="208"/>
      <c r="I499" s="208"/>
      <c r="J499" s="208"/>
      <c r="K499" s="208"/>
      <c r="L499" s="208"/>
      <c r="M499" s="208"/>
      <c r="N499" s="208"/>
      <c r="O499" s="208"/>
      <c r="P499" s="208"/>
      <c r="Q499" s="208"/>
      <c r="R499" s="208"/>
      <c r="S499" s="208"/>
      <c r="T499" s="208"/>
      <c r="U499" s="208"/>
      <c r="V499" s="208"/>
      <c r="W499" s="208"/>
      <c r="X499" s="208"/>
      <c r="Y499" s="208"/>
      <c r="Z499" s="208"/>
    </row>
    <row r="500" ht="12.0" customHeight="1">
      <c r="A500" s="208"/>
      <c r="B500" s="208"/>
      <c r="C500" s="208"/>
      <c r="D500" s="208"/>
      <c r="E500" s="208"/>
      <c r="F500" s="208"/>
      <c r="G500" s="208"/>
      <c r="H500" s="208"/>
      <c r="I500" s="208"/>
      <c r="J500" s="208"/>
      <c r="K500" s="208"/>
      <c r="L500" s="208"/>
      <c r="M500" s="208"/>
      <c r="N500" s="208"/>
      <c r="O500" s="208"/>
      <c r="P500" s="208"/>
      <c r="Q500" s="208"/>
      <c r="R500" s="208"/>
      <c r="S500" s="208"/>
      <c r="T500" s="208"/>
      <c r="U500" s="208"/>
      <c r="V500" s="208"/>
      <c r="W500" s="208"/>
      <c r="X500" s="208"/>
      <c r="Y500" s="208"/>
      <c r="Z500" s="208"/>
    </row>
    <row r="501" ht="12.0" customHeight="1">
      <c r="A501" s="208"/>
      <c r="B501" s="208"/>
      <c r="C501" s="208"/>
      <c r="D501" s="208"/>
      <c r="E501" s="208"/>
      <c r="F501" s="208"/>
      <c r="G501" s="208"/>
      <c r="H501" s="208"/>
      <c r="I501" s="208"/>
      <c r="J501" s="208"/>
      <c r="K501" s="208"/>
      <c r="L501" s="208"/>
      <c r="M501" s="208"/>
      <c r="N501" s="208"/>
      <c r="O501" s="208"/>
      <c r="P501" s="208"/>
      <c r="Q501" s="208"/>
      <c r="R501" s="208"/>
      <c r="S501" s="208"/>
      <c r="T501" s="208"/>
      <c r="U501" s="208"/>
      <c r="V501" s="208"/>
      <c r="W501" s="208"/>
      <c r="X501" s="208"/>
      <c r="Y501" s="208"/>
      <c r="Z501" s="208"/>
    </row>
    <row r="502" ht="12.0" customHeight="1">
      <c r="A502" s="208"/>
      <c r="B502" s="208"/>
      <c r="C502" s="208"/>
      <c r="D502" s="208"/>
      <c r="E502" s="208"/>
      <c r="F502" s="208"/>
      <c r="G502" s="208"/>
      <c r="H502" s="208"/>
      <c r="I502" s="208"/>
      <c r="J502" s="208"/>
      <c r="K502" s="208"/>
      <c r="L502" s="208"/>
      <c r="M502" s="208"/>
      <c r="N502" s="208"/>
      <c r="O502" s="208"/>
      <c r="P502" s="208"/>
      <c r="Q502" s="208"/>
      <c r="R502" s="208"/>
      <c r="S502" s="208"/>
      <c r="T502" s="208"/>
      <c r="U502" s="208"/>
      <c r="V502" s="208"/>
      <c r="W502" s="208"/>
      <c r="X502" s="208"/>
      <c r="Y502" s="208"/>
      <c r="Z502" s="208"/>
    </row>
    <row r="503" ht="12.0" customHeight="1">
      <c r="A503" s="208"/>
      <c r="B503" s="208"/>
      <c r="C503" s="208"/>
      <c r="D503" s="208"/>
      <c r="E503" s="208"/>
      <c r="F503" s="208"/>
      <c r="G503" s="208"/>
      <c r="H503" s="208"/>
      <c r="I503" s="208"/>
      <c r="J503" s="208"/>
      <c r="K503" s="208"/>
      <c r="L503" s="208"/>
      <c r="M503" s="208"/>
      <c r="N503" s="208"/>
      <c r="O503" s="208"/>
      <c r="P503" s="208"/>
      <c r="Q503" s="208"/>
      <c r="R503" s="208"/>
      <c r="S503" s="208"/>
      <c r="T503" s="208"/>
      <c r="U503" s="208"/>
      <c r="V503" s="208"/>
      <c r="W503" s="208"/>
      <c r="X503" s="208"/>
      <c r="Y503" s="208"/>
      <c r="Z503" s="208"/>
    </row>
    <row r="504" ht="12.0" customHeight="1">
      <c r="A504" s="208"/>
      <c r="B504" s="208"/>
      <c r="C504" s="208"/>
      <c r="D504" s="208"/>
      <c r="E504" s="208"/>
      <c r="F504" s="208"/>
      <c r="G504" s="208"/>
      <c r="H504" s="208"/>
      <c r="I504" s="208"/>
      <c r="J504" s="208"/>
      <c r="K504" s="208"/>
      <c r="L504" s="208"/>
      <c r="M504" s="208"/>
      <c r="N504" s="208"/>
      <c r="O504" s="208"/>
      <c r="P504" s="208"/>
      <c r="Q504" s="208"/>
      <c r="R504" s="208"/>
      <c r="S504" s="208"/>
      <c r="T504" s="208"/>
      <c r="U504" s="208"/>
      <c r="V504" s="208"/>
      <c r="W504" s="208"/>
      <c r="X504" s="208"/>
      <c r="Y504" s="208"/>
      <c r="Z504" s="208"/>
    </row>
    <row r="505" ht="12.0" customHeight="1">
      <c r="A505" s="208"/>
      <c r="B505" s="208"/>
      <c r="C505" s="208"/>
      <c r="D505" s="208"/>
      <c r="E505" s="208"/>
      <c r="F505" s="208"/>
      <c r="G505" s="208"/>
      <c r="H505" s="208"/>
      <c r="I505" s="208"/>
      <c r="J505" s="208"/>
      <c r="K505" s="208"/>
      <c r="L505" s="208"/>
      <c r="M505" s="208"/>
      <c r="N505" s="208"/>
      <c r="O505" s="208"/>
      <c r="P505" s="208"/>
      <c r="Q505" s="208"/>
      <c r="R505" s="208"/>
      <c r="S505" s="208"/>
      <c r="T505" s="208"/>
      <c r="U505" s="208"/>
      <c r="V505" s="208"/>
      <c r="W505" s="208"/>
      <c r="X505" s="208"/>
      <c r="Y505" s="208"/>
      <c r="Z505" s="208"/>
    </row>
    <row r="506" ht="12.0" customHeight="1">
      <c r="A506" s="208"/>
      <c r="B506" s="208"/>
      <c r="C506" s="208"/>
      <c r="D506" s="208"/>
      <c r="E506" s="208"/>
      <c r="F506" s="208"/>
      <c r="G506" s="208"/>
      <c r="H506" s="208"/>
      <c r="I506" s="208"/>
      <c r="J506" s="208"/>
      <c r="K506" s="208"/>
      <c r="L506" s="208"/>
      <c r="M506" s="208"/>
      <c r="N506" s="208"/>
      <c r="O506" s="208"/>
      <c r="P506" s="208"/>
      <c r="Q506" s="208"/>
      <c r="R506" s="208"/>
      <c r="S506" s="208"/>
      <c r="T506" s="208"/>
      <c r="U506" s="208"/>
      <c r="V506" s="208"/>
      <c r="W506" s="208"/>
      <c r="X506" s="208"/>
      <c r="Y506" s="208"/>
      <c r="Z506" s="208"/>
    </row>
    <row r="507" ht="12.0" customHeight="1">
      <c r="A507" s="208"/>
      <c r="B507" s="208"/>
      <c r="C507" s="208"/>
      <c r="D507" s="208"/>
      <c r="E507" s="208"/>
      <c r="F507" s="208"/>
      <c r="G507" s="208"/>
      <c r="H507" s="208"/>
      <c r="I507" s="208"/>
      <c r="J507" s="208"/>
      <c r="K507" s="208"/>
      <c r="L507" s="208"/>
      <c r="M507" s="208"/>
      <c r="N507" s="208"/>
      <c r="O507" s="208"/>
      <c r="P507" s="208"/>
      <c r="Q507" s="208"/>
      <c r="R507" s="208"/>
      <c r="S507" s="208"/>
      <c r="T507" s="208"/>
      <c r="U507" s="208"/>
      <c r="V507" s="208"/>
      <c r="W507" s="208"/>
      <c r="X507" s="208"/>
      <c r="Y507" s="208"/>
      <c r="Z507" s="208"/>
    </row>
    <row r="508" ht="12.0" customHeight="1">
      <c r="A508" s="208"/>
      <c r="B508" s="208"/>
      <c r="C508" s="208"/>
      <c r="D508" s="208"/>
      <c r="E508" s="208"/>
      <c r="F508" s="208"/>
      <c r="G508" s="208"/>
      <c r="H508" s="208"/>
      <c r="I508" s="208"/>
      <c r="J508" s="208"/>
      <c r="K508" s="208"/>
      <c r="L508" s="208"/>
      <c r="M508" s="208"/>
      <c r="N508" s="208"/>
      <c r="O508" s="208"/>
      <c r="P508" s="208"/>
      <c r="Q508" s="208"/>
      <c r="R508" s="208"/>
      <c r="S508" s="208"/>
      <c r="T508" s="208"/>
      <c r="U508" s="208"/>
      <c r="V508" s="208"/>
      <c r="W508" s="208"/>
      <c r="X508" s="208"/>
      <c r="Y508" s="208"/>
      <c r="Z508" s="208"/>
    </row>
    <row r="509" ht="12.0" customHeight="1">
      <c r="A509" s="208"/>
      <c r="B509" s="208"/>
      <c r="C509" s="208"/>
      <c r="D509" s="208"/>
      <c r="E509" s="208"/>
      <c r="F509" s="208"/>
      <c r="G509" s="208"/>
      <c r="H509" s="208"/>
      <c r="I509" s="208"/>
      <c r="J509" s="208"/>
      <c r="K509" s="208"/>
      <c r="L509" s="208"/>
      <c r="M509" s="208"/>
      <c r="N509" s="208"/>
      <c r="O509" s="208"/>
      <c r="P509" s="208"/>
      <c r="Q509" s="208"/>
      <c r="R509" s="208"/>
      <c r="S509" s="208"/>
      <c r="T509" s="208"/>
      <c r="U509" s="208"/>
      <c r="V509" s="208"/>
      <c r="W509" s="208"/>
      <c r="X509" s="208"/>
      <c r="Y509" s="208"/>
      <c r="Z509" s="208"/>
    </row>
    <row r="510" ht="12.0" customHeight="1">
      <c r="A510" s="208"/>
      <c r="B510" s="208"/>
      <c r="C510" s="208"/>
      <c r="D510" s="208"/>
      <c r="E510" s="208"/>
      <c r="F510" s="208"/>
      <c r="G510" s="208"/>
      <c r="H510" s="208"/>
      <c r="I510" s="208"/>
      <c r="J510" s="208"/>
      <c r="K510" s="208"/>
      <c r="L510" s="208"/>
      <c r="M510" s="208"/>
      <c r="N510" s="208"/>
      <c r="O510" s="208"/>
      <c r="P510" s="208"/>
      <c r="Q510" s="208"/>
      <c r="R510" s="208"/>
      <c r="S510" s="208"/>
      <c r="T510" s="208"/>
      <c r="U510" s="208"/>
      <c r="V510" s="208"/>
      <c r="W510" s="208"/>
      <c r="X510" s="208"/>
      <c r="Y510" s="208"/>
      <c r="Z510" s="208"/>
    </row>
    <row r="511" ht="12.0" customHeight="1">
      <c r="A511" s="208"/>
      <c r="B511" s="208"/>
      <c r="C511" s="208"/>
      <c r="D511" s="208"/>
      <c r="E511" s="208"/>
      <c r="F511" s="208"/>
      <c r="G511" s="208"/>
      <c r="H511" s="208"/>
      <c r="I511" s="208"/>
      <c r="J511" s="208"/>
      <c r="K511" s="208"/>
      <c r="L511" s="208"/>
      <c r="M511" s="208"/>
      <c r="N511" s="208"/>
      <c r="O511" s="208"/>
      <c r="P511" s="208"/>
      <c r="Q511" s="208"/>
      <c r="R511" s="208"/>
      <c r="S511" s="208"/>
      <c r="T511" s="208"/>
      <c r="U511" s="208"/>
      <c r="V511" s="208"/>
      <c r="W511" s="208"/>
      <c r="X511" s="208"/>
      <c r="Y511" s="208"/>
      <c r="Z511" s="208"/>
    </row>
    <row r="512" ht="12.0" customHeight="1">
      <c r="A512" s="208"/>
      <c r="B512" s="208"/>
      <c r="C512" s="208"/>
      <c r="D512" s="208"/>
      <c r="E512" s="208"/>
      <c r="F512" s="208"/>
      <c r="G512" s="208"/>
      <c r="H512" s="208"/>
      <c r="I512" s="208"/>
      <c r="J512" s="208"/>
      <c r="K512" s="208"/>
      <c r="L512" s="208"/>
      <c r="M512" s="208"/>
      <c r="N512" s="208"/>
      <c r="O512" s="208"/>
      <c r="P512" s="208"/>
      <c r="Q512" s="208"/>
      <c r="R512" s="208"/>
      <c r="S512" s="208"/>
      <c r="T512" s="208"/>
      <c r="U512" s="208"/>
      <c r="V512" s="208"/>
      <c r="W512" s="208"/>
      <c r="X512" s="208"/>
      <c r="Y512" s="208"/>
      <c r="Z512" s="208"/>
    </row>
    <row r="513" ht="12.0" customHeight="1">
      <c r="A513" s="208"/>
      <c r="B513" s="208"/>
      <c r="C513" s="208"/>
      <c r="D513" s="208"/>
      <c r="E513" s="208"/>
      <c r="F513" s="208"/>
      <c r="G513" s="208"/>
      <c r="H513" s="208"/>
      <c r="I513" s="208"/>
      <c r="J513" s="208"/>
      <c r="K513" s="208"/>
      <c r="L513" s="208"/>
      <c r="M513" s="208"/>
      <c r="N513" s="208"/>
      <c r="O513" s="208"/>
      <c r="P513" s="208"/>
      <c r="Q513" s="208"/>
      <c r="R513" s="208"/>
      <c r="S513" s="208"/>
      <c r="T513" s="208"/>
      <c r="U513" s="208"/>
      <c r="V513" s="208"/>
      <c r="W513" s="208"/>
      <c r="X513" s="208"/>
      <c r="Y513" s="208"/>
      <c r="Z513" s="208"/>
    </row>
    <row r="514" ht="12.0" customHeight="1">
      <c r="A514" s="208"/>
      <c r="B514" s="208"/>
      <c r="C514" s="208"/>
      <c r="D514" s="208"/>
      <c r="E514" s="208"/>
      <c r="F514" s="208"/>
      <c r="G514" s="208"/>
      <c r="H514" s="208"/>
      <c r="I514" s="208"/>
      <c r="J514" s="208"/>
      <c r="K514" s="208"/>
      <c r="L514" s="208"/>
      <c r="M514" s="208"/>
      <c r="N514" s="208"/>
      <c r="O514" s="208"/>
      <c r="P514" s="208"/>
      <c r="Q514" s="208"/>
      <c r="R514" s="208"/>
      <c r="S514" s="208"/>
      <c r="T514" s="208"/>
      <c r="U514" s="208"/>
      <c r="V514" s="208"/>
      <c r="W514" s="208"/>
      <c r="X514" s="208"/>
      <c r="Y514" s="208"/>
      <c r="Z514" s="208"/>
    </row>
    <row r="515" ht="12.0" customHeight="1">
      <c r="A515" s="208"/>
      <c r="B515" s="208"/>
      <c r="C515" s="208"/>
      <c r="D515" s="208"/>
      <c r="E515" s="208"/>
      <c r="F515" s="208"/>
      <c r="G515" s="208"/>
      <c r="H515" s="208"/>
      <c r="I515" s="208"/>
      <c r="J515" s="208"/>
      <c r="K515" s="208"/>
      <c r="L515" s="208"/>
      <c r="M515" s="208"/>
      <c r="N515" s="208"/>
      <c r="O515" s="208"/>
      <c r="P515" s="208"/>
      <c r="Q515" s="208"/>
      <c r="R515" s="208"/>
      <c r="S515" s="208"/>
      <c r="T515" s="208"/>
      <c r="U515" s="208"/>
      <c r="V515" s="208"/>
      <c r="W515" s="208"/>
      <c r="X515" s="208"/>
      <c r="Y515" s="208"/>
      <c r="Z515" s="208"/>
    </row>
    <row r="516" ht="12.0" customHeight="1">
      <c r="A516" s="208"/>
      <c r="B516" s="208"/>
      <c r="C516" s="208"/>
      <c r="D516" s="208"/>
      <c r="E516" s="208"/>
      <c r="F516" s="208"/>
      <c r="G516" s="208"/>
      <c r="H516" s="208"/>
      <c r="I516" s="208"/>
      <c r="J516" s="208"/>
      <c r="K516" s="208"/>
      <c r="L516" s="208"/>
      <c r="M516" s="208"/>
      <c r="N516" s="208"/>
      <c r="O516" s="208"/>
      <c r="P516" s="208"/>
      <c r="Q516" s="208"/>
      <c r="R516" s="208"/>
      <c r="S516" s="208"/>
      <c r="T516" s="208"/>
      <c r="U516" s="208"/>
      <c r="V516" s="208"/>
      <c r="W516" s="208"/>
      <c r="X516" s="208"/>
      <c r="Y516" s="208"/>
      <c r="Z516" s="208"/>
    </row>
    <row r="517" ht="12.0" customHeight="1">
      <c r="A517" s="208"/>
      <c r="B517" s="208"/>
      <c r="C517" s="208"/>
      <c r="D517" s="208"/>
      <c r="E517" s="208"/>
      <c r="F517" s="208"/>
      <c r="G517" s="208"/>
      <c r="H517" s="208"/>
      <c r="I517" s="208"/>
      <c r="J517" s="208"/>
      <c r="K517" s="208"/>
      <c r="L517" s="208"/>
      <c r="M517" s="208"/>
      <c r="N517" s="208"/>
      <c r="O517" s="208"/>
      <c r="P517" s="208"/>
      <c r="Q517" s="208"/>
      <c r="R517" s="208"/>
      <c r="S517" s="208"/>
      <c r="T517" s="208"/>
      <c r="U517" s="208"/>
      <c r="V517" s="208"/>
      <c r="W517" s="208"/>
      <c r="X517" s="208"/>
      <c r="Y517" s="208"/>
      <c r="Z517" s="208"/>
    </row>
    <row r="518" ht="12.0" customHeight="1">
      <c r="A518" s="208"/>
      <c r="B518" s="208"/>
      <c r="C518" s="208"/>
      <c r="D518" s="208"/>
      <c r="E518" s="208"/>
      <c r="F518" s="208"/>
      <c r="G518" s="208"/>
      <c r="H518" s="208"/>
      <c r="I518" s="208"/>
      <c r="J518" s="208"/>
      <c r="K518" s="208"/>
      <c r="L518" s="208"/>
      <c r="M518" s="208"/>
      <c r="N518" s="208"/>
      <c r="O518" s="208"/>
      <c r="P518" s="208"/>
      <c r="Q518" s="208"/>
      <c r="R518" s="208"/>
      <c r="S518" s="208"/>
      <c r="T518" s="208"/>
      <c r="U518" s="208"/>
      <c r="V518" s="208"/>
      <c r="W518" s="208"/>
      <c r="X518" s="208"/>
      <c r="Y518" s="208"/>
      <c r="Z518" s="208"/>
    </row>
    <row r="519" ht="12.0" customHeight="1">
      <c r="A519" s="208"/>
      <c r="B519" s="208"/>
      <c r="C519" s="208"/>
      <c r="D519" s="208"/>
      <c r="E519" s="208"/>
      <c r="F519" s="208"/>
      <c r="G519" s="208"/>
      <c r="H519" s="208"/>
      <c r="I519" s="208"/>
      <c r="J519" s="208"/>
      <c r="K519" s="208"/>
      <c r="L519" s="208"/>
      <c r="M519" s="208"/>
      <c r="N519" s="208"/>
      <c r="O519" s="208"/>
      <c r="P519" s="208"/>
      <c r="Q519" s="208"/>
      <c r="R519" s="208"/>
      <c r="S519" s="208"/>
      <c r="T519" s="208"/>
      <c r="U519" s="208"/>
      <c r="V519" s="208"/>
      <c r="W519" s="208"/>
      <c r="X519" s="208"/>
      <c r="Y519" s="208"/>
      <c r="Z519" s="208"/>
    </row>
    <row r="520" ht="12.0" customHeight="1">
      <c r="A520" s="208"/>
      <c r="B520" s="208"/>
      <c r="C520" s="208"/>
      <c r="D520" s="208"/>
      <c r="E520" s="208"/>
      <c r="F520" s="208"/>
      <c r="G520" s="208"/>
      <c r="H520" s="208"/>
      <c r="I520" s="208"/>
      <c r="J520" s="208"/>
      <c r="K520" s="208"/>
      <c r="L520" s="208"/>
      <c r="M520" s="208"/>
      <c r="N520" s="208"/>
      <c r="O520" s="208"/>
      <c r="P520" s="208"/>
      <c r="Q520" s="208"/>
      <c r="R520" s="208"/>
      <c r="S520" s="208"/>
      <c r="T520" s="208"/>
      <c r="U520" s="208"/>
      <c r="V520" s="208"/>
      <c r="W520" s="208"/>
      <c r="X520" s="208"/>
      <c r="Y520" s="208"/>
      <c r="Z520" s="208"/>
    </row>
    <row r="521" ht="12.0" customHeight="1">
      <c r="A521" s="208"/>
      <c r="B521" s="208"/>
      <c r="C521" s="208"/>
      <c r="D521" s="208"/>
      <c r="E521" s="208"/>
      <c r="F521" s="208"/>
      <c r="G521" s="208"/>
      <c r="H521" s="208"/>
      <c r="I521" s="208"/>
      <c r="J521" s="208"/>
      <c r="K521" s="208"/>
      <c r="L521" s="208"/>
      <c r="M521" s="208"/>
      <c r="N521" s="208"/>
      <c r="O521" s="208"/>
      <c r="P521" s="208"/>
      <c r="Q521" s="208"/>
      <c r="R521" s="208"/>
      <c r="S521" s="208"/>
      <c r="T521" s="208"/>
      <c r="U521" s="208"/>
      <c r="V521" s="208"/>
      <c r="W521" s="208"/>
      <c r="X521" s="208"/>
      <c r="Y521" s="208"/>
      <c r="Z521" s="208"/>
    </row>
    <row r="522" ht="12.0" customHeight="1">
      <c r="A522" s="208"/>
      <c r="B522" s="208"/>
      <c r="C522" s="208"/>
      <c r="D522" s="208"/>
      <c r="E522" s="208"/>
      <c r="F522" s="208"/>
      <c r="G522" s="208"/>
      <c r="H522" s="208"/>
      <c r="I522" s="208"/>
      <c r="J522" s="208"/>
      <c r="K522" s="208"/>
      <c r="L522" s="208"/>
      <c r="M522" s="208"/>
      <c r="N522" s="208"/>
      <c r="O522" s="208"/>
      <c r="P522" s="208"/>
      <c r="Q522" s="208"/>
      <c r="R522" s="208"/>
      <c r="S522" s="208"/>
      <c r="T522" s="208"/>
      <c r="U522" s="208"/>
      <c r="V522" s="208"/>
      <c r="W522" s="208"/>
      <c r="X522" s="208"/>
      <c r="Y522" s="208"/>
      <c r="Z522" s="208"/>
    </row>
    <row r="523" ht="12.0" customHeight="1">
      <c r="A523" s="208"/>
      <c r="B523" s="208"/>
      <c r="C523" s="208"/>
      <c r="D523" s="208"/>
      <c r="E523" s="208"/>
      <c r="F523" s="208"/>
      <c r="G523" s="208"/>
      <c r="H523" s="208"/>
      <c r="I523" s="208"/>
      <c r="J523" s="208"/>
      <c r="K523" s="208"/>
      <c r="L523" s="208"/>
      <c r="M523" s="208"/>
      <c r="N523" s="208"/>
      <c r="O523" s="208"/>
      <c r="P523" s="208"/>
      <c r="Q523" s="208"/>
      <c r="R523" s="208"/>
      <c r="S523" s="208"/>
      <c r="T523" s="208"/>
      <c r="U523" s="208"/>
      <c r="V523" s="208"/>
      <c r="W523" s="208"/>
      <c r="X523" s="208"/>
      <c r="Y523" s="208"/>
      <c r="Z523" s="208"/>
    </row>
    <row r="524" ht="12.0" customHeight="1">
      <c r="A524" s="208"/>
      <c r="B524" s="208"/>
      <c r="C524" s="208"/>
      <c r="D524" s="208"/>
      <c r="E524" s="208"/>
      <c r="F524" s="208"/>
      <c r="G524" s="208"/>
      <c r="H524" s="208"/>
      <c r="I524" s="208"/>
      <c r="J524" s="208"/>
      <c r="K524" s="208"/>
      <c r="L524" s="208"/>
      <c r="M524" s="208"/>
      <c r="N524" s="208"/>
      <c r="O524" s="208"/>
      <c r="P524" s="208"/>
      <c r="Q524" s="208"/>
      <c r="R524" s="208"/>
      <c r="S524" s="208"/>
      <c r="T524" s="208"/>
      <c r="U524" s="208"/>
      <c r="V524" s="208"/>
      <c r="W524" s="208"/>
      <c r="X524" s="208"/>
      <c r="Y524" s="208"/>
      <c r="Z524" s="208"/>
    </row>
    <row r="525" ht="12.0" customHeight="1">
      <c r="A525" s="208"/>
      <c r="B525" s="208"/>
      <c r="C525" s="208"/>
      <c r="D525" s="208"/>
      <c r="E525" s="208"/>
      <c r="F525" s="208"/>
      <c r="G525" s="208"/>
      <c r="H525" s="208"/>
      <c r="I525" s="208"/>
      <c r="J525" s="208"/>
      <c r="K525" s="208"/>
      <c r="L525" s="208"/>
      <c r="M525" s="208"/>
      <c r="N525" s="208"/>
      <c r="O525" s="208"/>
      <c r="P525" s="208"/>
      <c r="Q525" s="208"/>
      <c r="R525" s="208"/>
      <c r="S525" s="208"/>
      <c r="T525" s="208"/>
      <c r="U525" s="208"/>
      <c r="V525" s="208"/>
      <c r="W525" s="208"/>
      <c r="X525" s="208"/>
      <c r="Y525" s="208"/>
      <c r="Z525" s="208"/>
    </row>
    <row r="526" ht="12.0" customHeight="1">
      <c r="A526" s="208"/>
      <c r="B526" s="208"/>
      <c r="C526" s="208"/>
      <c r="D526" s="208"/>
      <c r="E526" s="208"/>
      <c r="F526" s="208"/>
      <c r="G526" s="208"/>
      <c r="H526" s="208"/>
      <c r="I526" s="208"/>
      <c r="J526" s="208"/>
      <c r="K526" s="208"/>
      <c r="L526" s="208"/>
      <c r="M526" s="208"/>
      <c r="N526" s="208"/>
      <c r="O526" s="208"/>
      <c r="P526" s="208"/>
      <c r="Q526" s="208"/>
      <c r="R526" s="208"/>
      <c r="S526" s="208"/>
      <c r="T526" s="208"/>
      <c r="U526" s="208"/>
      <c r="V526" s="208"/>
      <c r="W526" s="208"/>
      <c r="X526" s="208"/>
      <c r="Y526" s="208"/>
      <c r="Z526" s="208"/>
    </row>
    <row r="527" ht="12.0" customHeight="1">
      <c r="A527" s="208"/>
      <c r="B527" s="208"/>
      <c r="C527" s="208"/>
      <c r="D527" s="208"/>
      <c r="E527" s="208"/>
      <c r="F527" s="208"/>
      <c r="G527" s="208"/>
      <c r="H527" s="208"/>
      <c r="I527" s="208"/>
      <c r="J527" s="208"/>
      <c r="K527" s="208"/>
      <c r="L527" s="208"/>
      <c r="M527" s="208"/>
      <c r="N527" s="208"/>
      <c r="O527" s="208"/>
      <c r="P527" s="208"/>
      <c r="Q527" s="208"/>
      <c r="R527" s="208"/>
      <c r="S527" s="208"/>
      <c r="T527" s="208"/>
      <c r="U527" s="208"/>
      <c r="V527" s="208"/>
      <c r="W527" s="208"/>
      <c r="X527" s="208"/>
      <c r="Y527" s="208"/>
      <c r="Z527" s="208"/>
    </row>
    <row r="528" ht="12.0" customHeight="1">
      <c r="A528" s="208"/>
      <c r="B528" s="208"/>
      <c r="C528" s="208"/>
      <c r="D528" s="208"/>
      <c r="E528" s="208"/>
      <c r="F528" s="208"/>
      <c r="G528" s="208"/>
      <c r="H528" s="208"/>
      <c r="I528" s="208"/>
      <c r="J528" s="208"/>
      <c r="K528" s="208"/>
      <c r="L528" s="208"/>
      <c r="M528" s="208"/>
      <c r="N528" s="208"/>
      <c r="O528" s="208"/>
      <c r="P528" s="208"/>
      <c r="Q528" s="208"/>
      <c r="R528" s="208"/>
      <c r="S528" s="208"/>
      <c r="T528" s="208"/>
      <c r="U528" s="208"/>
      <c r="V528" s="208"/>
      <c r="W528" s="208"/>
      <c r="X528" s="208"/>
      <c r="Y528" s="208"/>
      <c r="Z528" s="208"/>
    </row>
    <row r="529" ht="12.0" customHeight="1">
      <c r="A529" s="208"/>
      <c r="B529" s="208"/>
      <c r="C529" s="208"/>
      <c r="D529" s="208"/>
      <c r="E529" s="208"/>
      <c r="F529" s="208"/>
      <c r="G529" s="208"/>
      <c r="H529" s="208"/>
      <c r="I529" s="208"/>
      <c r="J529" s="208"/>
      <c r="K529" s="208"/>
      <c r="L529" s="208"/>
      <c r="M529" s="208"/>
      <c r="N529" s="208"/>
      <c r="O529" s="208"/>
      <c r="P529" s="208"/>
      <c r="Q529" s="208"/>
      <c r="R529" s="208"/>
      <c r="S529" s="208"/>
      <c r="T529" s="208"/>
      <c r="U529" s="208"/>
      <c r="V529" s="208"/>
      <c r="W529" s="208"/>
      <c r="X529" s="208"/>
      <c r="Y529" s="208"/>
      <c r="Z529" s="208"/>
    </row>
    <row r="530" ht="12.0" customHeight="1">
      <c r="A530" s="208"/>
      <c r="B530" s="208"/>
      <c r="C530" s="208"/>
      <c r="D530" s="208"/>
      <c r="E530" s="208"/>
      <c r="F530" s="208"/>
      <c r="G530" s="208"/>
      <c r="H530" s="208"/>
      <c r="I530" s="208"/>
      <c r="J530" s="208"/>
      <c r="K530" s="208"/>
      <c r="L530" s="208"/>
      <c r="M530" s="208"/>
      <c r="N530" s="208"/>
      <c r="O530" s="208"/>
      <c r="P530" s="208"/>
      <c r="Q530" s="208"/>
      <c r="R530" s="208"/>
      <c r="S530" s="208"/>
      <c r="T530" s="208"/>
      <c r="U530" s="208"/>
      <c r="V530" s="208"/>
      <c r="W530" s="208"/>
      <c r="X530" s="208"/>
      <c r="Y530" s="208"/>
      <c r="Z530" s="208"/>
    </row>
    <row r="531" ht="12.0" customHeight="1">
      <c r="A531" s="208"/>
      <c r="B531" s="208"/>
      <c r="C531" s="208"/>
      <c r="D531" s="208"/>
      <c r="E531" s="208"/>
      <c r="F531" s="208"/>
      <c r="G531" s="208"/>
      <c r="H531" s="208"/>
      <c r="I531" s="208"/>
      <c r="J531" s="208"/>
      <c r="K531" s="208"/>
      <c r="L531" s="208"/>
      <c r="M531" s="208"/>
      <c r="N531" s="208"/>
      <c r="O531" s="208"/>
      <c r="P531" s="208"/>
      <c r="Q531" s="208"/>
      <c r="R531" s="208"/>
      <c r="S531" s="208"/>
      <c r="T531" s="208"/>
      <c r="U531" s="208"/>
      <c r="V531" s="208"/>
      <c r="W531" s="208"/>
      <c r="X531" s="208"/>
      <c r="Y531" s="208"/>
      <c r="Z531" s="208"/>
    </row>
    <row r="532" ht="12.0" customHeight="1">
      <c r="A532" s="208"/>
      <c r="B532" s="208"/>
      <c r="C532" s="208"/>
      <c r="D532" s="208"/>
      <c r="E532" s="208"/>
      <c r="F532" s="208"/>
      <c r="G532" s="208"/>
      <c r="H532" s="208"/>
      <c r="I532" s="208"/>
      <c r="J532" s="208"/>
      <c r="K532" s="208"/>
      <c r="L532" s="208"/>
      <c r="M532" s="208"/>
      <c r="N532" s="208"/>
      <c r="O532" s="208"/>
      <c r="P532" s="208"/>
      <c r="Q532" s="208"/>
      <c r="R532" s="208"/>
      <c r="S532" s="208"/>
      <c r="T532" s="208"/>
      <c r="U532" s="208"/>
      <c r="V532" s="208"/>
      <c r="W532" s="208"/>
      <c r="X532" s="208"/>
      <c r="Y532" s="208"/>
      <c r="Z532" s="208"/>
    </row>
    <row r="533" ht="12.0" customHeight="1">
      <c r="A533" s="208"/>
      <c r="B533" s="208"/>
      <c r="C533" s="208"/>
      <c r="D533" s="208"/>
      <c r="E533" s="208"/>
      <c r="F533" s="208"/>
      <c r="G533" s="208"/>
      <c r="H533" s="208"/>
      <c r="I533" s="208"/>
      <c r="J533" s="208"/>
      <c r="K533" s="208"/>
      <c r="L533" s="208"/>
      <c r="M533" s="208"/>
      <c r="N533" s="208"/>
      <c r="O533" s="208"/>
      <c r="P533" s="208"/>
      <c r="Q533" s="208"/>
      <c r="R533" s="208"/>
      <c r="S533" s="208"/>
      <c r="T533" s="208"/>
      <c r="U533" s="208"/>
      <c r="V533" s="208"/>
      <c r="W533" s="208"/>
      <c r="X533" s="208"/>
      <c r="Y533" s="208"/>
      <c r="Z533" s="208"/>
    </row>
    <row r="534" ht="12.0" customHeight="1">
      <c r="A534" s="208"/>
      <c r="B534" s="208"/>
      <c r="C534" s="208"/>
      <c r="D534" s="208"/>
      <c r="E534" s="208"/>
      <c r="F534" s="208"/>
      <c r="G534" s="208"/>
      <c r="H534" s="208"/>
      <c r="I534" s="208"/>
      <c r="J534" s="208"/>
      <c r="K534" s="208"/>
      <c r="L534" s="208"/>
      <c r="M534" s="208"/>
      <c r="N534" s="208"/>
      <c r="O534" s="208"/>
      <c r="P534" s="208"/>
      <c r="Q534" s="208"/>
      <c r="R534" s="208"/>
      <c r="S534" s="208"/>
      <c r="T534" s="208"/>
      <c r="U534" s="208"/>
      <c r="V534" s="208"/>
      <c r="W534" s="208"/>
      <c r="X534" s="208"/>
      <c r="Y534" s="208"/>
      <c r="Z534" s="208"/>
    </row>
    <row r="535" ht="12.0" customHeight="1">
      <c r="A535" s="208"/>
      <c r="B535" s="208"/>
      <c r="C535" s="208"/>
      <c r="D535" s="208"/>
      <c r="E535" s="208"/>
      <c r="F535" s="208"/>
      <c r="G535" s="208"/>
      <c r="H535" s="208"/>
      <c r="I535" s="208"/>
      <c r="J535" s="208"/>
      <c r="K535" s="208"/>
      <c r="L535" s="208"/>
      <c r="M535" s="208"/>
      <c r="N535" s="208"/>
      <c r="O535" s="208"/>
      <c r="P535" s="208"/>
      <c r="Q535" s="208"/>
      <c r="R535" s="208"/>
      <c r="S535" s="208"/>
      <c r="T535" s="208"/>
      <c r="U535" s="208"/>
      <c r="V535" s="208"/>
      <c r="W535" s="208"/>
      <c r="X535" s="208"/>
      <c r="Y535" s="208"/>
      <c r="Z535" s="208"/>
    </row>
    <row r="536" ht="12.0" customHeight="1">
      <c r="A536" s="208"/>
      <c r="B536" s="208"/>
      <c r="C536" s="208"/>
      <c r="D536" s="208"/>
      <c r="E536" s="208"/>
      <c r="F536" s="208"/>
      <c r="G536" s="208"/>
      <c r="H536" s="208"/>
      <c r="I536" s="208"/>
      <c r="J536" s="208"/>
      <c r="K536" s="208"/>
      <c r="L536" s="208"/>
      <c r="M536" s="208"/>
      <c r="N536" s="208"/>
      <c r="O536" s="208"/>
      <c r="P536" s="208"/>
      <c r="Q536" s="208"/>
      <c r="R536" s="208"/>
      <c r="S536" s="208"/>
      <c r="T536" s="208"/>
      <c r="U536" s="208"/>
      <c r="V536" s="208"/>
      <c r="W536" s="208"/>
      <c r="X536" s="208"/>
      <c r="Y536" s="208"/>
      <c r="Z536" s="208"/>
    </row>
    <row r="537" ht="12.0" customHeight="1">
      <c r="A537" s="208"/>
      <c r="B537" s="208"/>
      <c r="C537" s="208"/>
      <c r="D537" s="208"/>
      <c r="E537" s="208"/>
      <c r="F537" s="208"/>
      <c r="G537" s="208"/>
      <c r="H537" s="208"/>
      <c r="I537" s="208"/>
      <c r="J537" s="208"/>
      <c r="K537" s="208"/>
      <c r="L537" s="208"/>
      <c r="M537" s="208"/>
      <c r="N537" s="208"/>
      <c r="O537" s="208"/>
      <c r="P537" s="208"/>
      <c r="Q537" s="208"/>
      <c r="R537" s="208"/>
      <c r="S537" s="208"/>
      <c r="T537" s="208"/>
      <c r="U537" s="208"/>
      <c r="V537" s="208"/>
      <c r="W537" s="208"/>
      <c r="X537" s="208"/>
      <c r="Y537" s="208"/>
      <c r="Z537" s="208"/>
    </row>
    <row r="538" ht="12.0" customHeight="1">
      <c r="A538" s="208"/>
      <c r="B538" s="208"/>
      <c r="C538" s="208"/>
      <c r="D538" s="208"/>
      <c r="E538" s="208"/>
      <c r="F538" s="208"/>
      <c r="G538" s="208"/>
      <c r="H538" s="208"/>
      <c r="I538" s="208"/>
      <c r="J538" s="208"/>
      <c r="K538" s="208"/>
      <c r="L538" s="208"/>
      <c r="M538" s="208"/>
      <c r="N538" s="208"/>
      <c r="O538" s="208"/>
      <c r="P538" s="208"/>
      <c r="Q538" s="208"/>
      <c r="R538" s="208"/>
      <c r="S538" s="208"/>
      <c r="T538" s="208"/>
      <c r="U538" s="208"/>
      <c r="V538" s="208"/>
      <c r="W538" s="208"/>
      <c r="X538" s="208"/>
      <c r="Y538" s="208"/>
      <c r="Z538" s="208"/>
    </row>
    <row r="539" ht="12.0" customHeight="1">
      <c r="A539" s="208"/>
      <c r="B539" s="208"/>
      <c r="C539" s="208"/>
      <c r="D539" s="208"/>
      <c r="E539" s="208"/>
      <c r="F539" s="208"/>
      <c r="G539" s="208"/>
      <c r="H539" s="208"/>
      <c r="I539" s="208"/>
      <c r="J539" s="208"/>
      <c r="K539" s="208"/>
      <c r="L539" s="208"/>
      <c r="M539" s="208"/>
      <c r="N539" s="208"/>
      <c r="O539" s="208"/>
      <c r="P539" s="208"/>
      <c r="Q539" s="208"/>
      <c r="R539" s="208"/>
      <c r="S539" s="208"/>
      <c r="T539" s="208"/>
      <c r="U539" s="208"/>
      <c r="V539" s="208"/>
      <c r="W539" s="208"/>
      <c r="X539" s="208"/>
      <c r="Y539" s="208"/>
      <c r="Z539" s="208"/>
    </row>
    <row r="540" ht="12.0" customHeight="1">
      <c r="A540" s="208"/>
      <c r="B540" s="208"/>
      <c r="C540" s="208"/>
      <c r="D540" s="208"/>
      <c r="E540" s="208"/>
      <c r="F540" s="208"/>
      <c r="G540" s="208"/>
      <c r="H540" s="208"/>
      <c r="I540" s="208"/>
      <c r="J540" s="208"/>
      <c r="K540" s="208"/>
      <c r="L540" s="208"/>
      <c r="M540" s="208"/>
      <c r="N540" s="208"/>
      <c r="O540" s="208"/>
      <c r="P540" s="208"/>
      <c r="Q540" s="208"/>
      <c r="R540" s="208"/>
      <c r="S540" s="208"/>
      <c r="T540" s="208"/>
      <c r="U540" s="208"/>
      <c r="V540" s="208"/>
      <c r="W540" s="208"/>
      <c r="X540" s="208"/>
      <c r="Y540" s="208"/>
      <c r="Z540" s="208"/>
    </row>
    <row r="541" ht="12.0" customHeight="1">
      <c r="A541" s="208"/>
      <c r="B541" s="208"/>
      <c r="C541" s="208"/>
      <c r="D541" s="208"/>
      <c r="E541" s="208"/>
      <c r="F541" s="208"/>
      <c r="G541" s="208"/>
      <c r="H541" s="208"/>
      <c r="I541" s="208"/>
      <c r="J541" s="208"/>
      <c r="K541" s="208"/>
      <c r="L541" s="208"/>
      <c r="M541" s="208"/>
      <c r="N541" s="208"/>
      <c r="O541" s="208"/>
      <c r="P541" s="208"/>
      <c r="Q541" s="208"/>
      <c r="R541" s="208"/>
      <c r="S541" s="208"/>
      <c r="T541" s="208"/>
      <c r="U541" s="208"/>
      <c r="V541" s="208"/>
      <c r="W541" s="208"/>
      <c r="X541" s="208"/>
      <c r="Y541" s="208"/>
      <c r="Z541" s="208"/>
    </row>
    <row r="542" ht="12.0" customHeight="1">
      <c r="A542" s="208"/>
      <c r="B542" s="208"/>
      <c r="C542" s="208"/>
      <c r="D542" s="208"/>
      <c r="E542" s="208"/>
      <c r="F542" s="208"/>
      <c r="G542" s="208"/>
      <c r="H542" s="208"/>
      <c r="I542" s="208"/>
      <c r="J542" s="208"/>
      <c r="K542" s="208"/>
      <c r="L542" s="208"/>
      <c r="M542" s="208"/>
      <c r="N542" s="208"/>
      <c r="O542" s="208"/>
      <c r="P542" s="208"/>
      <c r="Q542" s="208"/>
      <c r="R542" s="208"/>
      <c r="S542" s="208"/>
      <c r="T542" s="208"/>
      <c r="U542" s="208"/>
      <c r="V542" s="208"/>
      <c r="W542" s="208"/>
      <c r="X542" s="208"/>
      <c r="Y542" s="208"/>
      <c r="Z542" s="208"/>
    </row>
    <row r="543" ht="12.0" customHeight="1">
      <c r="A543" s="208"/>
      <c r="B543" s="208"/>
      <c r="C543" s="208"/>
      <c r="D543" s="208"/>
      <c r="E543" s="208"/>
      <c r="F543" s="208"/>
      <c r="G543" s="208"/>
      <c r="H543" s="208"/>
      <c r="I543" s="208"/>
      <c r="J543" s="208"/>
      <c r="K543" s="208"/>
      <c r="L543" s="208"/>
      <c r="M543" s="208"/>
      <c r="N543" s="208"/>
      <c r="O543" s="208"/>
      <c r="P543" s="208"/>
      <c r="Q543" s="208"/>
      <c r="R543" s="208"/>
      <c r="S543" s="208"/>
      <c r="T543" s="208"/>
      <c r="U543" s="208"/>
      <c r="V543" s="208"/>
      <c r="W543" s="208"/>
      <c r="X543" s="208"/>
      <c r="Y543" s="208"/>
      <c r="Z543" s="208"/>
    </row>
    <row r="544" ht="12.0" customHeight="1">
      <c r="A544" s="208"/>
      <c r="B544" s="208"/>
      <c r="C544" s="208"/>
      <c r="D544" s="208"/>
      <c r="E544" s="208"/>
      <c r="F544" s="208"/>
      <c r="G544" s="208"/>
      <c r="H544" s="208"/>
      <c r="I544" s="208"/>
      <c r="J544" s="208"/>
      <c r="K544" s="208"/>
      <c r="L544" s="208"/>
      <c r="M544" s="208"/>
      <c r="N544" s="208"/>
      <c r="O544" s="208"/>
      <c r="P544" s="208"/>
      <c r="Q544" s="208"/>
      <c r="R544" s="208"/>
      <c r="S544" s="208"/>
      <c r="T544" s="208"/>
      <c r="U544" s="208"/>
      <c r="V544" s="208"/>
      <c r="W544" s="208"/>
      <c r="X544" s="208"/>
      <c r="Y544" s="208"/>
      <c r="Z544" s="208"/>
    </row>
    <row r="545" ht="12.0" customHeight="1">
      <c r="A545" s="208"/>
      <c r="B545" s="208"/>
      <c r="C545" s="208"/>
      <c r="D545" s="208"/>
      <c r="E545" s="208"/>
      <c r="F545" s="208"/>
      <c r="G545" s="208"/>
      <c r="H545" s="208"/>
      <c r="I545" s="208"/>
      <c r="J545" s="208"/>
      <c r="K545" s="208"/>
      <c r="L545" s="208"/>
      <c r="M545" s="208"/>
      <c r="N545" s="208"/>
      <c r="O545" s="208"/>
      <c r="P545" s="208"/>
      <c r="Q545" s="208"/>
      <c r="R545" s="208"/>
      <c r="S545" s="208"/>
      <c r="T545" s="208"/>
      <c r="U545" s="208"/>
      <c r="V545" s="208"/>
      <c r="W545" s="208"/>
      <c r="X545" s="208"/>
      <c r="Y545" s="208"/>
      <c r="Z545" s="208"/>
    </row>
    <row r="546" ht="12.0" customHeight="1">
      <c r="A546" s="208"/>
      <c r="B546" s="208"/>
      <c r="C546" s="208"/>
      <c r="D546" s="208"/>
      <c r="E546" s="208"/>
      <c r="F546" s="208"/>
      <c r="G546" s="208"/>
      <c r="H546" s="208"/>
      <c r="I546" s="208"/>
      <c r="J546" s="208"/>
      <c r="K546" s="208"/>
      <c r="L546" s="208"/>
      <c r="M546" s="208"/>
      <c r="N546" s="208"/>
      <c r="O546" s="208"/>
      <c r="P546" s="208"/>
      <c r="Q546" s="208"/>
      <c r="R546" s="208"/>
      <c r="S546" s="208"/>
      <c r="T546" s="208"/>
      <c r="U546" s="208"/>
      <c r="V546" s="208"/>
      <c r="W546" s="208"/>
      <c r="X546" s="208"/>
      <c r="Y546" s="208"/>
      <c r="Z546" s="208"/>
    </row>
    <row r="547" ht="12.0" customHeight="1">
      <c r="A547" s="208"/>
      <c r="B547" s="208"/>
      <c r="C547" s="208"/>
      <c r="D547" s="208"/>
      <c r="E547" s="208"/>
      <c r="F547" s="208"/>
      <c r="G547" s="208"/>
      <c r="H547" s="208"/>
      <c r="I547" s="208"/>
      <c r="J547" s="208"/>
      <c r="K547" s="208"/>
      <c r="L547" s="208"/>
      <c r="M547" s="208"/>
      <c r="N547" s="208"/>
      <c r="O547" s="208"/>
      <c r="P547" s="208"/>
      <c r="Q547" s="208"/>
      <c r="R547" s="208"/>
      <c r="S547" s="208"/>
      <c r="T547" s="208"/>
      <c r="U547" s="208"/>
      <c r="V547" s="208"/>
      <c r="W547" s="208"/>
      <c r="X547" s="208"/>
      <c r="Y547" s="208"/>
      <c r="Z547" s="208"/>
    </row>
    <row r="548" ht="12.0" customHeight="1">
      <c r="A548" s="208"/>
      <c r="B548" s="208"/>
      <c r="C548" s="208"/>
      <c r="D548" s="208"/>
      <c r="E548" s="208"/>
      <c r="F548" s="208"/>
      <c r="G548" s="208"/>
      <c r="H548" s="208"/>
      <c r="I548" s="208"/>
      <c r="J548" s="208"/>
      <c r="K548" s="208"/>
      <c r="L548" s="208"/>
      <c r="M548" s="208"/>
      <c r="N548" s="208"/>
      <c r="O548" s="208"/>
      <c r="P548" s="208"/>
      <c r="Q548" s="208"/>
      <c r="R548" s="208"/>
      <c r="S548" s="208"/>
      <c r="T548" s="208"/>
      <c r="U548" s="208"/>
      <c r="V548" s="208"/>
      <c r="W548" s="208"/>
      <c r="X548" s="208"/>
      <c r="Y548" s="208"/>
      <c r="Z548" s="208"/>
    </row>
    <row r="549" ht="12.0" customHeight="1">
      <c r="A549" s="208"/>
      <c r="B549" s="208"/>
      <c r="C549" s="208"/>
      <c r="D549" s="208"/>
      <c r="E549" s="208"/>
      <c r="F549" s="208"/>
      <c r="G549" s="208"/>
      <c r="H549" s="208"/>
      <c r="I549" s="208"/>
      <c r="J549" s="208"/>
      <c r="K549" s="208"/>
      <c r="L549" s="208"/>
      <c r="M549" s="208"/>
      <c r="N549" s="208"/>
      <c r="O549" s="208"/>
      <c r="P549" s="208"/>
      <c r="Q549" s="208"/>
      <c r="R549" s="208"/>
      <c r="S549" s="208"/>
      <c r="T549" s="208"/>
      <c r="U549" s="208"/>
      <c r="V549" s="208"/>
      <c r="W549" s="208"/>
      <c r="X549" s="208"/>
      <c r="Y549" s="208"/>
      <c r="Z549" s="208"/>
    </row>
    <row r="550" ht="12.0" customHeight="1">
      <c r="A550" s="208"/>
      <c r="B550" s="208"/>
      <c r="C550" s="208"/>
      <c r="D550" s="208"/>
      <c r="E550" s="208"/>
      <c r="F550" s="208"/>
      <c r="G550" s="208"/>
      <c r="H550" s="208"/>
      <c r="I550" s="208"/>
      <c r="J550" s="208"/>
      <c r="K550" s="208"/>
      <c r="L550" s="208"/>
      <c r="M550" s="208"/>
      <c r="N550" s="208"/>
      <c r="O550" s="208"/>
      <c r="P550" s="208"/>
      <c r="Q550" s="208"/>
      <c r="R550" s="208"/>
      <c r="S550" s="208"/>
      <c r="T550" s="208"/>
      <c r="U550" s="208"/>
      <c r="V550" s="208"/>
      <c r="W550" s="208"/>
      <c r="X550" s="208"/>
      <c r="Y550" s="208"/>
      <c r="Z550" s="208"/>
    </row>
    <row r="551" ht="12.0" customHeight="1">
      <c r="A551" s="208"/>
      <c r="B551" s="208"/>
      <c r="C551" s="208"/>
      <c r="D551" s="208"/>
      <c r="E551" s="208"/>
      <c r="F551" s="208"/>
      <c r="G551" s="208"/>
      <c r="H551" s="208"/>
      <c r="I551" s="208"/>
      <c r="J551" s="208"/>
      <c r="K551" s="208"/>
      <c r="L551" s="208"/>
      <c r="M551" s="208"/>
      <c r="N551" s="208"/>
      <c r="O551" s="208"/>
      <c r="P551" s="208"/>
      <c r="Q551" s="208"/>
      <c r="R551" s="208"/>
      <c r="S551" s="208"/>
      <c r="T551" s="208"/>
      <c r="U551" s="208"/>
      <c r="V551" s="208"/>
      <c r="W551" s="208"/>
      <c r="X551" s="208"/>
      <c r="Y551" s="208"/>
      <c r="Z551" s="208"/>
    </row>
    <row r="552" ht="12.0" customHeight="1">
      <c r="A552" s="208"/>
      <c r="B552" s="208"/>
      <c r="C552" s="208"/>
      <c r="D552" s="208"/>
      <c r="E552" s="208"/>
      <c r="F552" s="208"/>
      <c r="G552" s="208"/>
      <c r="H552" s="208"/>
      <c r="I552" s="208"/>
      <c r="J552" s="208"/>
      <c r="K552" s="208"/>
      <c r="L552" s="208"/>
      <c r="M552" s="208"/>
      <c r="N552" s="208"/>
      <c r="O552" s="208"/>
      <c r="P552" s="208"/>
      <c r="Q552" s="208"/>
      <c r="R552" s="208"/>
      <c r="S552" s="208"/>
      <c r="T552" s="208"/>
      <c r="U552" s="208"/>
      <c r="V552" s="208"/>
      <c r="W552" s="208"/>
      <c r="X552" s="208"/>
      <c r="Y552" s="208"/>
      <c r="Z552" s="208"/>
    </row>
    <row r="553" ht="12.0" customHeight="1">
      <c r="A553" s="208"/>
      <c r="B553" s="208"/>
      <c r="C553" s="208"/>
      <c r="D553" s="208"/>
      <c r="E553" s="208"/>
      <c r="F553" s="208"/>
      <c r="G553" s="208"/>
      <c r="H553" s="208"/>
      <c r="I553" s="208"/>
      <c r="J553" s="208"/>
      <c r="K553" s="208"/>
      <c r="L553" s="208"/>
      <c r="M553" s="208"/>
      <c r="N553" s="208"/>
      <c r="O553" s="208"/>
      <c r="P553" s="208"/>
      <c r="Q553" s="208"/>
      <c r="R553" s="208"/>
      <c r="S553" s="208"/>
      <c r="T553" s="208"/>
      <c r="U553" s="208"/>
      <c r="V553" s="208"/>
      <c r="W553" s="208"/>
      <c r="X553" s="208"/>
      <c r="Y553" s="208"/>
      <c r="Z553" s="208"/>
    </row>
    <row r="554" ht="12.0" customHeight="1">
      <c r="A554" s="208"/>
      <c r="B554" s="208"/>
      <c r="C554" s="208"/>
      <c r="D554" s="208"/>
      <c r="E554" s="208"/>
      <c r="F554" s="208"/>
      <c r="G554" s="208"/>
      <c r="H554" s="208"/>
      <c r="I554" s="208"/>
      <c r="J554" s="208"/>
      <c r="K554" s="208"/>
      <c r="L554" s="208"/>
      <c r="M554" s="208"/>
      <c r="N554" s="208"/>
      <c r="O554" s="208"/>
      <c r="P554" s="208"/>
      <c r="Q554" s="208"/>
      <c r="R554" s="208"/>
      <c r="S554" s="208"/>
      <c r="T554" s="208"/>
      <c r="U554" s="208"/>
      <c r="V554" s="208"/>
      <c r="W554" s="208"/>
      <c r="X554" s="208"/>
      <c r="Y554" s="208"/>
      <c r="Z554" s="208"/>
    </row>
    <row r="555" ht="12.0" customHeight="1">
      <c r="A555" s="208"/>
      <c r="B555" s="208"/>
      <c r="C555" s="208"/>
      <c r="D555" s="208"/>
      <c r="E555" s="208"/>
      <c r="F555" s="208"/>
      <c r="G555" s="208"/>
      <c r="H555" s="208"/>
      <c r="I555" s="208"/>
      <c r="J555" s="208"/>
      <c r="K555" s="208"/>
      <c r="L555" s="208"/>
      <c r="M555" s="208"/>
      <c r="N555" s="208"/>
      <c r="O555" s="208"/>
      <c r="P555" s="208"/>
      <c r="Q555" s="208"/>
      <c r="R555" s="208"/>
      <c r="S555" s="208"/>
      <c r="T555" s="208"/>
      <c r="U555" s="208"/>
      <c r="V555" s="208"/>
      <c r="W555" s="208"/>
      <c r="X555" s="208"/>
      <c r="Y555" s="208"/>
      <c r="Z555" s="208"/>
    </row>
    <row r="556" ht="12.0" customHeight="1">
      <c r="A556" s="208"/>
      <c r="B556" s="208"/>
      <c r="C556" s="208"/>
      <c r="D556" s="208"/>
      <c r="E556" s="208"/>
      <c r="F556" s="208"/>
      <c r="G556" s="208"/>
      <c r="H556" s="208"/>
      <c r="I556" s="208"/>
      <c r="J556" s="208"/>
      <c r="K556" s="208"/>
      <c r="L556" s="208"/>
      <c r="M556" s="208"/>
      <c r="N556" s="208"/>
      <c r="O556" s="208"/>
      <c r="P556" s="208"/>
      <c r="Q556" s="208"/>
      <c r="R556" s="208"/>
      <c r="S556" s="208"/>
      <c r="T556" s="208"/>
      <c r="U556" s="208"/>
      <c r="V556" s="208"/>
      <c r="W556" s="208"/>
      <c r="X556" s="208"/>
      <c r="Y556" s="208"/>
      <c r="Z556" s="208"/>
    </row>
    <row r="557" ht="12.0" customHeight="1">
      <c r="A557" s="208"/>
      <c r="B557" s="208"/>
      <c r="C557" s="208"/>
      <c r="D557" s="208"/>
      <c r="E557" s="208"/>
      <c r="F557" s="208"/>
      <c r="G557" s="208"/>
      <c r="H557" s="208"/>
      <c r="I557" s="208"/>
      <c r="J557" s="208"/>
      <c r="K557" s="208"/>
      <c r="L557" s="208"/>
      <c r="M557" s="208"/>
      <c r="N557" s="208"/>
      <c r="O557" s="208"/>
      <c r="P557" s="208"/>
      <c r="Q557" s="208"/>
      <c r="R557" s="208"/>
      <c r="S557" s="208"/>
      <c r="T557" s="208"/>
      <c r="U557" s="208"/>
      <c r="V557" s="208"/>
      <c r="W557" s="208"/>
      <c r="X557" s="208"/>
      <c r="Y557" s="208"/>
      <c r="Z557" s="208"/>
    </row>
    <row r="558" ht="12.0" customHeight="1">
      <c r="A558" s="208"/>
      <c r="B558" s="208"/>
      <c r="C558" s="208"/>
      <c r="D558" s="208"/>
      <c r="E558" s="208"/>
      <c r="F558" s="208"/>
      <c r="G558" s="208"/>
      <c r="H558" s="208"/>
      <c r="I558" s="208"/>
      <c r="J558" s="208"/>
      <c r="K558" s="208"/>
      <c r="L558" s="208"/>
      <c r="M558" s="208"/>
      <c r="N558" s="208"/>
      <c r="O558" s="208"/>
      <c r="P558" s="208"/>
      <c r="Q558" s="208"/>
      <c r="R558" s="208"/>
      <c r="S558" s="208"/>
      <c r="T558" s="208"/>
      <c r="U558" s="208"/>
      <c r="V558" s="208"/>
      <c r="W558" s="208"/>
      <c r="X558" s="208"/>
      <c r="Y558" s="208"/>
      <c r="Z558" s="208"/>
    </row>
    <row r="559" ht="12.0" customHeight="1">
      <c r="A559" s="208"/>
      <c r="B559" s="208"/>
      <c r="C559" s="208"/>
      <c r="D559" s="208"/>
      <c r="E559" s="208"/>
      <c r="F559" s="208"/>
      <c r="G559" s="208"/>
      <c r="H559" s="208"/>
      <c r="I559" s="208"/>
      <c r="J559" s="208"/>
      <c r="K559" s="208"/>
      <c r="L559" s="208"/>
      <c r="M559" s="208"/>
      <c r="N559" s="208"/>
      <c r="O559" s="208"/>
      <c r="P559" s="208"/>
      <c r="Q559" s="208"/>
      <c r="R559" s="208"/>
      <c r="S559" s="208"/>
      <c r="T559" s="208"/>
      <c r="U559" s="208"/>
      <c r="V559" s="208"/>
      <c r="W559" s="208"/>
      <c r="X559" s="208"/>
      <c r="Y559" s="208"/>
      <c r="Z559" s="208"/>
    </row>
    <row r="560" ht="12.0" customHeight="1">
      <c r="A560" s="208"/>
      <c r="B560" s="208"/>
      <c r="C560" s="208"/>
      <c r="D560" s="208"/>
      <c r="E560" s="208"/>
      <c r="F560" s="208"/>
      <c r="G560" s="208"/>
      <c r="H560" s="208"/>
      <c r="I560" s="208"/>
      <c r="J560" s="208"/>
      <c r="K560" s="208"/>
      <c r="L560" s="208"/>
      <c r="M560" s="208"/>
      <c r="N560" s="208"/>
      <c r="O560" s="208"/>
      <c r="P560" s="208"/>
      <c r="Q560" s="208"/>
      <c r="R560" s="208"/>
      <c r="S560" s="208"/>
      <c r="T560" s="208"/>
      <c r="U560" s="208"/>
      <c r="V560" s="208"/>
      <c r="W560" s="208"/>
      <c r="X560" s="208"/>
      <c r="Y560" s="208"/>
      <c r="Z560" s="208"/>
    </row>
    <row r="561" ht="12.0" customHeight="1">
      <c r="A561" s="208"/>
      <c r="B561" s="208"/>
      <c r="C561" s="208"/>
      <c r="D561" s="208"/>
      <c r="E561" s="208"/>
      <c r="F561" s="208"/>
      <c r="G561" s="208"/>
      <c r="H561" s="208"/>
      <c r="I561" s="208"/>
      <c r="J561" s="208"/>
      <c r="K561" s="208"/>
      <c r="L561" s="208"/>
      <c r="M561" s="208"/>
      <c r="N561" s="208"/>
      <c r="O561" s="208"/>
      <c r="P561" s="208"/>
      <c r="Q561" s="208"/>
      <c r="R561" s="208"/>
      <c r="S561" s="208"/>
      <c r="T561" s="208"/>
      <c r="U561" s="208"/>
      <c r="V561" s="208"/>
      <c r="W561" s="208"/>
      <c r="X561" s="208"/>
      <c r="Y561" s="208"/>
      <c r="Z561" s="208"/>
    </row>
    <row r="562" ht="12.0" customHeight="1">
      <c r="A562" s="208"/>
      <c r="B562" s="208"/>
      <c r="C562" s="208"/>
      <c r="D562" s="208"/>
      <c r="E562" s="208"/>
      <c r="F562" s="208"/>
      <c r="G562" s="208"/>
      <c r="H562" s="208"/>
      <c r="I562" s="208"/>
      <c r="J562" s="208"/>
      <c r="K562" s="208"/>
      <c r="L562" s="208"/>
      <c r="M562" s="208"/>
      <c r="N562" s="208"/>
      <c r="O562" s="208"/>
      <c r="P562" s="208"/>
      <c r="Q562" s="208"/>
      <c r="R562" s="208"/>
      <c r="S562" s="208"/>
      <c r="T562" s="208"/>
      <c r="U562" s="208"/>
      <c r="V562" s="208"/>
      <c r="W562" s="208"/>
      <c r="X562" s="208"/>
      <c r="Y562" s="208"/>
      <c r="Z562" s="208"/>
    </row>
    <row r="563" ht="12.0" customHeight="1">
      <c r="A563" s="208"/>
      <c r="B563" s="208"/>
      <c r="C563" s="208"/>
      <c r="D563" s="208"/>
      <c r="E563" s="208"/>
      <c r="F563" s="208"/>
      <c r="G563" s="208"/>
      <c r="H563" s="208"/>
      <c r="I563" s="208"/>
      <c r="J563" s="208"/>
      <c r="K563" s="208"/>
      <c r="L563" s="208"/>
      <c r="M563" s="208"/>
      <c r="N563" s="208"/>
      <c r="O563" s="208"/>
      <c r="P563" s="208"/>
      <c r="Q563" s="208"/>
      <c r="R563" s="208"/>
      <c r="S563" s="208"/>
      <c r="T563" s="208"/>
      <c r="U563" s="208"/>
      <c r="V563" s="208"/>
      <c r="W563" s="208"/>
      <c r="X563" s="208"/>
      <c r="Y563" s="208"/>
      <c r="Z563" s="208"/>
    </row>
    <row r="564" ht="12.0" customHeight="1">
      <c r="A564" s="208"/>
      <c r="B564" s="208"/>
      <c r="C564" s="208"/>
      <c r="D564" s="208"/>
      <c r="E564" s="208"/>
      <c r="F564" s="208"/>
      <c r="G564" s="208"/>
      <c r="H564" s="208"/>
      <c r="I564" s="208"/>
      <c r="J564" s="208"/>
      <c r="K564" s="208"/>
      <c r="L564" s="208"/>
      <c r="M564" s="208"/>
      <c r="N564" s="208"/>
      <c r="O564" s="208"/>
      <c r="P564" s="208"/>
      <c r="Q564" s="208"/>
      <c r="R564" s="208"/>
      <c r="S564" s="208"/>
      <c r="T564" s="208"/>
      <c r="U564" s="208"/>
      <c r="V564" s="208"/>
      <c r="W564" s="208"/>
      <c r="X564" s="208"/>
      <c r="Y564" s="208"/>
      <c r="Z564" s="208"/>
    </row>
    <row r="565" ht="12.0" customHeight="1">
      <c r="A565" s="208"/>
      <c r="B565" s="208"/>
      <c r="C565" s="208"/>
      <c r="D565" s="208"/>
      <c r="E565" s="208"/>
      <c r="F565" s="208"/>
      <c r="G565" s="208"/>
      <c r="H565" s="208"/>
      <c r="I565" s="208"/>
      <c r="J565" s="208"/>
      <c r="K565" s="208"/>
      <c r="L565" s="208"/>
      <c r="M565" s="208"/>
      <c r="N565" s="208"/>
      <c r="O565" s="208"/>
      <c r="P565" s="208"/>
      <c r="Q565" s="208"/>
      <c r="R565" s="208"/>
      <c r="S565" s="208"/>
      <c r="T565" s="208"/>
      <c r="U565" s="208"/>
      <c r="V565" s="208"/>
      <c r="W565" s="208"/>
      <c r="X565" s="208"/>
      <c r="Y565" s="208"/>
      <c r="Z565" s="208"/>
    </row>
    <row r="566" ht="12.0" customHeight="1">
      <c r="A566" s="208"/>
      <c r="B566" s="208"/>
      <c r="C566" s="208"/>
      <c r="D566" s="208"/>
      <c r="E566" s="208"/>
      <c r="F566" s="208"/>
      <c r="G566" s="208"/>
      <c r="H566" s="208"/>
      <c r="I566" s="208"/>
      <c r="J566" s="208"/>
      <c r="K566" s="208"/>
      <c r="L566" s="208"/>
      <c r="M566" s="208"/>
      <c r="N566" s="208"/>
      <c r="O566" s="208"/>
      <c r="P566" s="208"/>
      <c r="Q566" s="208"/>
      <c r="R566" s="208"/>
      <c r="S566" s="208"/>
      <c r="T566" s="208"/>
      <c r="U566" s="208"/>
      <c r="V566" s="208"/>
      <c r="W566" s="208"/>
      <c r="X566" s="208"/>
      <c r="Y566" s="208"/>
      <c r="Z566" s="208"/>
    </row>
    <row r="567" ht="12.0" customHeight="1">
      <c r="A567" s="208"/>
      <c r="B567" s="208"/>
      <c r="C567" s="208"/>
      <c r="D567" s="208"/>
      <c r="E567" s="208"/>
      <c r="F567" s="208"/>
      <c r="G567" s="208"/>
      <c r="H567" s="208"/>
      <c r="I567" s="208"/>
      <c r="J567" s="208"/>
      <c r="K567" s="208"/>
      <c r="L567" s="208"/>
      <c r="M567" s="208"/>
      <c r="N567" s="208"/>
      <c r="O567" s="208"/>
      <c r="P567" s="208"/>
      <c r="Q567" s="208"/>
      <c r="R567" s="208"/>
      <c r="S567" s="208"/>
      <c r="T567" s="208"/>
      <c r="U567" s="208"/>
      <c r="V567" s="208"/>
      <c r="W567" s="208"/>
      <c r="X567" s="208"/>
      <c r="Y567" s="208"/>
      <c r="Z567" s="208"/>
    </row>
    <row r="568" ht="12.0" customHeight="1">
      <c r="A568" s="208"/>
      <c r="B568" s="208"/>
      <c r="C568" s="208"/>
      <c r="D568" s="208"/>
      <c r="E568" s="208"/>
      <c r="F568" s="208"/>
      <c r="G568" s="208"/>
      <c r="H568" s="208"/>
      <c r="I568" s="208"/>
      <c r="J568" s="208"/>
      <c r="K568" s="208"/>
      <c r="L568" s="208"/>
      <c r="M568" s="208"/>
      <c r="N568" s="208"/>
      <c r="O568" s="208"/>
      <c r="P568" s="208"/>
      <c r="Q568" s="208"/>
      <c r="R568" s="208"/>
      <c r="S568" s="208"/>
      <c r="T568" s="208"/>
      <c r="U568" s="208"/>
      <c r="V568" s="208"/>
      <c r="W568" s="208"/>
      <c r="X568" s="208"/>
      <c r="Y568" s="208"/>
      <c r="Z568" s="208"/>
    </row>
    <row r="569" ht="12.0" customHeight="1">
      <c r="A569" s="208"/>
      <c r="B569" s="208"/>
      <c r="C569" s="208"/>
      <c r="D569" s="208"/>
      <c r="E569" s="208"/>
      <c r="F569" s="208"/>
      <c r="G569" s="208"/>
      <c r="H569" s="208"/>
      <c r="I569" s="208"/>
      <c r="J569" s="208"/>
      <c r="K569" s="208"/>
      <c r="L569" s="208"/>
      <c r="M569" s="208"/>
      <c r="N569" s="208"/>
      <c r="O569" s="208"/>
      <c r="P569" s="208"/>
      <c r="Q569" s="208"/>
      <c r="R569" s="208"/>
      <c r="S569" s="208"/>
      <c r="T569" s="208"/>
      <c r="U569" s="208"/>
      <c r="V569" s="208"/>
      <c r="W569" s="208"/>
      <c r="X569" s="208"/>
      <c r="Y569" s="208"/>
      <c r="Z569" s="208"/>
    </row>
    <row r="570" ht="12.0" customHeight="1">
      <c r="A570" s="208"/>
      <c r="B570" s="208"/>
      <c r="C570" s="208"/>
      <c r="D570" s="208"/>
      <c r="E570" s="208"/>
      <c r="F570" s="208"/>
      <c r="G570" s="208"/>
      <c r="H570" s="208"/>
      <c r="I570" s="208"/>
      <c r="J570" s="208"/>
      <c r="K570" s="208"/>
      <c r="L570" s="208"/>
      <c r="M570" s="208"/>
      <c r="N570" s="208"/>
      <c r="O570" s="208"/>
      <c r="P570" s="208"/>
      <c r="Q570" s="208"/>
      <c r="R570" s="208"/>
      <c r="S570" s="208"/>
      <c r="T570" s="208"/>
      <c r="U570" s="208"/>
      <c r="V570" s="208"/>
      <c r="W570" s="208"/>
      <c r="X570" s="208"/>
      <c r="Y570" s="208"/>
      <c r="Z570" s="208"/>
    </row>
    <row r="571" ht="12.0" customHeight="1">
      <c r="A571" s="208"/>
      <c r="B571" s="208"/>
      <c r="C571" s="208"/>
      <c r="D571" s="208"/>
      <c r="E571" s="208"/>
      <c r="F571" s="208"/>
      <c r="G571" s="208"/>
      <c r="H571" s="208"/>
      <c r="I571" s="208"/>
      <c r="J571" s="208"/>
      <c r="K571" s="208"/>
      <c r="L571" s="208"/>
      <c r="M571" s="208"/>
      <c r="N571" s="208"/>
      <c r="O571" s="208"/>
      <c r="P571" s="208"/>
      <c r="Q571" s="208"/>
      <c r="R571" s="208"/>
      <c r="S571" s="208"/>
      <c r="T571" s="208"/>
      <c r="U571" s="208"/>
      <c r="V571" s="208"/>
      <c r="W571" s="208"/>
      <c r="X571" s="208"/>
      <c r="Y571" s="208"/>
      <c r="Z571" s="208"/>
    </row>
    <row r="572" ht="12.0" customHeight="1">
      <c r="A572" s="208"/>
      <c r="B572" s="208"/>
      <c r="C572" s="208"/>
      <c r="D572" s="208"/>
      <c r="E572" s="208"/>
      <c r="F572" s="208"/>
      <c r="G572" s="208"/>
      <c r="H572" s="208"/>
      <c r="I572" s="208"/>
      <c r="J572" s="208"/>
      <c r="K572" s="208"/>
      <c r="L572" s="208"/>
      <c r="M572" s="208"/>
      <c r="N572" s="208"/>
      <c r="O572" s="208"/>
      <c r="P572" s="208"/>
      <c r="Q572" s="208"/>
      <c r="R572" s="208"/>
      <c r="S572" s="208"/>
      <c r="T572" s="208"/>
      <c r="U572" s="208"/>
      <c r="V572" s="208"/>
      <c r="W572" s="208"/>
      <c r="X572" s="208"/>
      <c r="Y572" s="208"/>
      <c r="Z572" s="208"/>
    </row>
    <row r="573" ht="12.0" customHeight="1">
      <c r="A573" s="208"/>
      <c r="B573" s="208"/>
      <c r="C573" s="208"/>
      <c r="D573" s="208"/>
      <c r="E573" s="208"/>
      <c r="F573" s="208"/>
      <c r="G573" s="208"/>
      <c r="H573" s="208"/>
      <c r="I573" s="208"/>
      <c r="J573" s="208"/>
      <c r="K573" s="208"/>
      <c r="L573" s="208"/>
      <c r="M573" s="208"/>
      <c r="N573" s="208"/>
      <c r="O573" s="208"/>
      <c r="P573" s="208"/>
      <c r="Q573" s="208"/>
      <c r="R573" s="208"/>
      <c r="S573" s="208"/>
      <c r="T573" s="208"/>
      <c r="U573" s="208"/>
      <c r="V573" s="208"/>
      <c r="W573" s="208"/>
      <c r="X573" s="208"/>
      <c r="Y573" s="208"/>
      <c r="Z573" s="208"/>
    </row>
    <row r="574" ht="12.0" customHeight="1">
      <c r="A574" s="208"/>
      <c r="B574" s="208"/>
      <c r="C574" s="208"/>
      <c r="D574" s="208"/>
      <c r="E574" s="208"/>
      <c r="F574" s="208"/>
      <c r="G574" s="208"/>
      <c r="H574" s="208"/>
      <c r="I574" s="208"/>
      <c r="J574" s="208"/>
      <c r="K574" s="208"/>
      <c r="L574" s="208"/>
      <c r="M574" s="208"/>
      <c r="N574" s="208"/>
      <c r="O574" s="208"/>
      <c r="P574" s="208"/>
      <c r="Q574" s="208"/>
      <c r="R574" s="208"/>
      <c r="S574" s="208"/>
      <c r="T574" s="208"/>
      <c r="U574" s="208"/>
      <c r="V574" s="208"/>
      <c r="W574" s="208"/>
      <c r="X574" s="208"/>
      <c r="Y574" s="208"/>
      <c r="Z574" s="208"/>
    </row>
    <row r="575" ht="12.0" customHeight="1">
      <c r="A575" s="208"/>
      <c r="B575" s="208"/>
      <c r="C575" s="208"/>
      <c r="D575" s="208"/>
      <c r="E575" s="208"/>
      <c r="F575" s="208"/>
      <c r="G575" s="208"/>
      <c r="H575" s="208"/>
      <c r="I575" s="208"/>
      <c r="J575" s="208"/>
      <c r="K575" s="208"/>
      <c r="L575" s="208"/>
      <c r="M575" s="208"/>
      <c r="N575" s="208"/>
      <c r="O575" s="208"/>
      <c r="P575" s="208"/>
      <c r="Q575" s="208"/>
      <c r="R575" s="208"/>
      <c r="S575" s="208"/>
      <c r="T575" s="208"/>
      <c r="U575" s="208"/>
      <c r="V575" s="208"/>
      <c r="W575" s="208"/>
      <c r="X575" s="208"/>
      <c r="Y575" s="208"/>
      <c r="Z575" s="208"/>
    </row>
    <row r="576" ht="12.0" customHeight="1">
      <c r="A576" s="208"/>
      <c r="B576" s="208"/>
      <c r="C576" s="208"/>
      <c r="D576" s="208"/>
      <c r="E576" s="208"/>
      <c r="F576" s="208"/>
      <c r="G576" s="208"/>
      <c r="H576" s="208"/>
      <c r="I576" s="208"/>
      <c r="J576" s="208"/>
      <c r="K576" s="208"/>
      <c r="L576" s="208"/>
      <c r="M576" s="208"/>
      <c r="N576" s="208"/>
      <c r="O576" s="208"/>
      <c r="P576" s="208"/>
      <c r="Q576" s="208"/>
      <c r="R576" s="208"/>
      <c r="S576" s="208"/>
      <c r="T576" s="208"/>
      <c r="U576" s="208"/>
      <c r="V576" s="208"/>
      <c r="W576" s="208"/>
      <c r="X576" s="208"/>
      <c r="Y576" s="208"/>
      <c r="Z576" s="208"/>
    </row>
    <row r="577" ht="12.0" customHeight="1">
      <c r="A577" s="208"/>
      <c r="B577" s="208"/>
      <c r="C577" s="208"/>
      <c r="D577" s="208"/>
      <c r="E577" s="208"/>
      <c r="F577" s="208"/>
      <c r="G577" s="208"/>
      <c r="H577" s="208"/>
      <c r="I577" s="208"/>
      <c r="J577" s="208"/>
      <c r="K577" s="208"/>
      <c r="L577" s="208"/>
      <c r="M577" s="208"/>
      <c r="N577" s="208"/>
      <c r="O577" s="208"/>
      <c r="P577" s="208"/>
      <c r="Q577" s="208"/>
      <c r="R577" s="208"/>
      <c r="S577" s="208"/>
      <c r="T577" s="208"/>
      <c r="U577" s="208"/>
      <c r="V577" s="208"/>
      <c r="W577" s="208"/>
      <c r="X577" s="208"/>
      <c r="Y577" s="208"/>
      <c r="Z577" s="208"/>
    </row>
    <row r="578" ht="12.0" customHeight="1">
      <c r="A578" s="208"/>
      <c r="B578" s="208"/>
      <c r="C578" s="208"/>
      <c r="D578" s="208"/>
      <c r="E578" s="208"/>
      <c r="F578" s="208"/>
      <c r="G578" s="208"/>
      <c r="H578" s="208"/>
      <c r="I578" s="208"/>
      <c r="J578" s="208"/>
      <c r="K578" s="208"/>
      <c r="L578" s="208"/>
      <c r="M578" s="208"/>
      <c r="N578" s="208"/>
      <c r="O578" s="208"/>
      <c r="P578" s="208"/>
      <c r="Q578" s="208"/>
      <c r="R578" s="208"/>
      <c r="S578" s="208"/>
      <c r="T578" s="208"/>
      <c r="U578" s="208"/>
      <c r="V578" s="208"/>
      <c r="W578" s="208"/>
      <c r="X578" s="208"/>
      <c r="Y578" s="208"/>
      <c r="Z578" s="208"/>
    </row>
    <row r="579" ht="12.0" customHeight="1">
      <c r="A579" s="208"/>
      <c r="B579" s="208"/>
      <c r="C579" s="208"/>
      <c r="D579" s="208"/>
      <c r="E579" s="208"/>
      <c r="F579" s="208"/>
      <c r="G579" s="208"/>
      <c r="H579" s="208"/>
      <c r="I579" s="208"/>
      <c r="J579" s="208"/>
      <c r="K579" s="208"/>
      <c r="L579" s="208"/>
      <c r="M579" s="208"/>
      <c r="N579" s="208"/>
      <c r="O579" s="208"/>
      <c r="P579" s="208"/>
      <c r="Q579" s="208"/>
      <c r="R579" s="208"/>
      <c r="S579" s="208"/>
      <c r="T579" s="208"/>
      <c r="U579" s="208"/>
      <c r="V579" s="208"/>
      <c r="W579" s="208"/>
      <c r="X579" s="208"/>
      <c r="Y579" s="208"/>
      <c r="Z579" s="208"/>
    </row>
    <row r="580" ht="12.0" customHeight="1">
      <c r="A580" s="208"/>
      <c r="B580" s="208"/>
      <c r="C580" s="208"/>
      <c r="D580" s="208"/>
      <c r="E580" s="208"/>
      <c r="F580" s="208"/>
      <c r="G580" s="208"/>
      <c r="H580" s="208"/>
      <c r="I580" s="208"/>
      <c r="J580" s="208"/>
      <c r="K580" s="208"/>
      <c r="L580" s="208"/>
      <c r="M580" s="208"/>
      <c r="N580" s="208"/>
      <c r="O580" s="208"/>
      <c r="P580" s="208"/>
      <c r="Q580" s="208"/>
      <c r="R580" s="208"/>
      <c r="S580" s="208"/>
      <c r="T580" s="208"/>
      <c r="U580" s="208"/>
      <c r="V580" s="208"/>
      <c r="W580" s="208"/>
      <c r="X580" s="208"/>
      <c r="Y580" s="208"/>
      <c r="Z580" s="208"/>
    </row>
    <row r="581" ht="12.0" customHeight="1">
      <c r="A581" s="208"/>
      <c r="B581" s="208"/>
      <c r="C581" s="208"/>
      <c r="D581" s="208"/>
      <c r="E581" s="208"/>
      <c r="F581" s="208"/>
      <c r="G581" s="208"/>
      <c r="H581" s="208"/>
      <c r="I581" s="208"/>
      <c r="J581" s="208"/>
      <c r="K581" s="208"/>
      <c r="L581" s="208"/>
      <c r="M581" s="208"/>
      <c r="N581" s="208"/>
      <c r="O581" s="208"/>
      <c r="P581" s="208"/>
      <c r="Q581" s="208"/>
      <c r="R581" s="208"/>
      <c r="S581" s="208"/>
      <c r="T581" s="208"/>
      <c r="U581" s="208"/>
      <c r="V581" s="208"/>
      <c r="W581" s="208"/>
      <c r="X581" s="208"/>
      <c r="Y581" s="208"/>
      <c r="Z581" s="208"/>
    </row>
    <row r="582" ht="12.0" customHeight="1">
      <c r="A582" s="208"/>
      <c r="B582" s="208"/>
      <c r="C582" s="208"/>
      <c r="D582" s="208"/>
      <c r="E582" s="208"/>
      <c r="F582" s="208"/>
      <c r="G582" s="208"/>
      <c r="H582" s="208"/>
      <c r="I582" s="208"/>
      <c r="J582" s="208"/>
      <c r="K582" s="208"/>
      <c r="L582" s="208"/>
      <c r="M582" s="208"/>
      <c r="N582" s="208"/>
      <c r="O582" s="208"/>
      <c r="P582" s="208"/>
      <c r="Q582" s="208"/>
      <c r="R582" s="208"/>
      <c r="S582" s="208"/>
      <c r="T582" s="208"/>
      <c r="U582" s="208"/>
      <c r="V582" s="208"/>
      <c r="W582" s="208"/>
      <c r="X582" s="208"/>
      <c r="Y582" s="208"/>
      <c r="Z582" s="208"/>
    </row>
    <row r="583" ht="12.0" customHeight="1">
      <c r="A583" s="208"/>
      <c r="B583" s="208"/>
      <c r="C583" s="208"/>
      <c r="D583" s="208"/>
      <c r="E583" s="208"/>
      <c r="F583" s="208"/>
      <c r="G583" s="208"/>
      <c r="H583" s="208"/>
      <c r="I583" s="208"/>
      <c r="J583" s="208"/>
      <c r="K583" s="208"/>
      <c r="L583" s="208"/>
      <c r="M583" s="208"/>
      <c r="N583" s="208"/>
      <c r="O583" s="208"/>
      <c r="P583" s="208"/>
      <c r="Q583" s="208"/>
      <c r="R583" s="208"/>
      <c r="S583" s="208"/>
      <c r="T583" s="208"/>
      <c r="U583" s="208"/>
      <c r="V583" s="208"/>
      <c r="W583" s="208"/>
      <c r="X583" s="208"/>
      <c r="Y583" s="208"/>
      <c r="Z583" s="208"/>
    </row>
    <row r="584" ht="12.0" customHeight="1">
      <c r="A584" s="208"/>
      <c r="B584" s="208"/>
      <c r="C584" s="208"/>
      <c r="D584" s="208"/>
      <c r="E584" s="208"/>
      <c r="F584" s="208"/>
      <c r="G584" s="208"/>
      <c r="H584" s="208"/>
      <c r="I584" s="208"/>
      <c r="J584" s="208"/>
      <c r="K584" s="208"/>
      <c r="L584" s="208"/>
      <c r="M584" s="208"/>
      <c r="N584" s="208"/>
      <c r="O584" s="208"/>
      <c r="P584" s="208"/>
      <c r="Q584" s="208"/>
      <c r="R584" s="208"/>
      <c r="S584" s="208"/>
      <c r="T584" s="208"/>
      <c r="U584" s="208"/>
      <c r="V584" s="208"/>
      <c r="W584" s="208"/>
      <c r="X584" s="208"/>
      <c r="Y584" s="208"/>
      <c r="Z584" s="208"/>
    </row>
    <row r="585" ht="12.0" customHeight="1">
      <c r="A585" s="208"/>
      <c r="B585" s="208"/>
      <c r="C585" s="208"/>
      <c r="D585" s="208"/>
      <c r="E585" s="208"/>
      <c r="F585" s="208"/>
      <c r="G585" s="208"/>
      <c r="H585" s="208"/>
      <c r="I585" s="208"/>
      <c r="J585" s="208"/>
      <c r="K585" s="208"/>
      <c r="L585" s="208"/>
      <c r="M585" s="208"/>
      <c r="N585" s="208"/>
      <c r="O585" s="208"/>
      <c r="P585" s="208"/>
      <c r="Q585" s="208"/>
      <c r="R585" s="208"/>
      <c r="S585" s="208"/>
      <c r="T585" s="208"/>
      <c r="U585" s="208"/>
      <c r="V585" s="208"/>
      <c r="W585" s="208"/>
      <c r="X585" s="208"/>
      <c r="Y585" s="208"/>
      <c r="Z585" s="208"/>
    </row>
    <row r="586" ht="12.0" customHeight="1">
      <c r="A586" s="208"/>
      <c r="B586" s="208"/>
      <c r="C586" s="208"/>
      <c r="D586" s="208"/>
      <c r="E586" s="208"/>
      <c r="F586" s="208"/>
      <c r="G586" s="208"/>
      <c r="H586" s="208"/>
      <c r="I586" s="208"/>
      <c r="J586" s="208"/>
      <c r="K586" s="208"/>
      <c r="L586" s="208"/>
      <c r="M586" s="208"/>
      <c r="N586" s="208"/>
      <c r="O586" s="208"/>
      <c r="P586" s="208"/>
      <c r="Q586" s="208"/>
      <c r="R586" s="208"/>
      <c r="S586" s="208"/>
      <c r="T586" s="208"/>
      <c r="U586" s="208"/>
      <c r="V586" s="208"/>
      <c r="W586" s="208"/>
      <c r="X586" s="208"/>
      <c r="Y586" s="208"/>
      <c r="Z586" s="208"/>
    </row>
    <row r="587" ht="12.0" customHeight="1">
      <c r="A587" s="208"/>
      <c r="B587" s="208"/>
      <c r="C587" s="208"/>
      <c r="D587" s="208"/>
      <c r="E587" s="208"/>
      <c r="F587" s="208"/>
      <c r="G587" s="208"/>
      <c r="H587" s="208"/>
      <c r="I587" s="208"/>
      <c r="J587" s="208"/>
      <c r="K587" s="208"/>
      <c r="L587" s="208"/>
      <c r="M587" s="208"/>
      <c r="N587" s="208"/>
      <c r="O587" s="208"/>
      <c r="P587" s="208"/>
      <c r="Q587" s="208"/>
      <c r="R587" s="208"/>
      <c r="S587" s="208"/>
      <c r="T587" s="208"/>
      <c r="U587" s="208"/>
      <c r="V587" s="208"/>
      <c r="W587" s="208"/>
      <c r="X587" s="208"/>
      <c r="Y587" s="208"/>
      <c r="Z587" s="208"/>
    </row>
    <row r="588" ht="12.0" customHeight="1">
      <c r="A588" s="208"/>
      <c r="B588" s="208"/>
      <c r="C588" s="208"/>
      <c r="D588" s="208"/>
      <c r="E588" s="208"/>
      <c r="F588" s="208"/>
      <c r="G588" s="208"/>
      <c r="H588" s="208"/>
      <c r="I588" s="208"/>
      <c r="J588" s="208"/>
      <c r="K588" s="208"/>
      <c r="L588" s="208"/>
      <c r="M588" s="208"/>
      <c r="N588" s="208"/>
      <c r="O588" s="208"/>
      <c r="P588" s="208"/>
      <c r="Q588" s="208"/>
      <c r="R588" s="208"/>
      <c r="S588" s="208"/>
      <c r="T588" s="208"/>
      <c r="U588" s="208"/>
      <c r="V588" s="208"/>
      <c r="W588" s="208"/>
      <c r="X588" s="208"/>
      <c r="Y588" s="208"/>
      <c r="Z588" s="208"/>
    </row>
    <row r="589" ht="12.0" customHeight="1">
      <c r="A589" s="208"/>
      <c r="B589" s="208"/>
      <c r="C589" s="208"/>
      <c r="D589" s="208"/>
      <c r="E589" s="208"/>
      <c r="F589" s="208"/>
      <c r="G589" s="208"/>
      <c r="H589" s="208"/>
      <c r="I589" s="208"/>
      <c r="J589" s="208"/>
      <c r="K589" s="208"/>
      <c r="L589" s="208"/>
      <c r="M589" s="208"/>
      <c r="N589" s="208"/>
      <c r="O589" s="208"/>
      <c r="P589" s="208"/>
      <c r="Q589" s="208"/>
      <c r="R589" s="208"/>
      <c r="S589" s="208"/>
      <c r="T589" s="208"/>
      <c r="U589" s="208"/>
      <c r="V589" s="208"/>
      <c r="W589" s="208"/>
      <c r="X589" s="208"/>
      <c r="Y589" s="208"/>
      <c r="Z589" s="208"/>
    </row>
    <row r="590" ht="12.0" customHeight="1">
      <c r="A590" s="208"/>
      <c r="B590" s="208"/>
      <c r="C590" s="208"/>
      <c r="D590" s="208"/>
      <c r="E590" s="208"/>
      <c r="F590" s="208"/>
      <c r="G590" s="208"/>
      <c r="H590" s="208"/>
      <c r="I590" s="208"/>
      <c r="J590" s="208"/>
      <c r="K590" s="208"/>
      <c r="L590" s="208"/>
      <c r="M590" s="208"/>
      <c r="N590" s="208"/>
      <c r="O590" s="208"/>
      <c r="P590" s="208"/>
      <c r="Q590" s="208"/>
      <c r="R590" s="208"/>
      <c r="S590" s="208"/>
      <c r="T590" s="208"/>
      <c r="U590" s="208"/>
      <c r="V590" s="208"/>
      <c r="W590" s="208"/>
      <c r="X590" s="208"/>
      <c r="Y590" s="208"/>
      <c r="Z590" s="208"/>
    </row>
    <row r="591" ht="12.0" customHeight="1">
      <c r="A591" s="208"/>
      <c r="B591" s="208"/>
      <c r="C591" s="208"/>
      <c r="D591" s="208"/>
      <c r="E591" s="208"/>
      <c r="F591" s="208"/>
      <c r="G591" s="208"/>
      <c r="H591" s="208"/>
      <c r="I591" s="208"/>
      <c r="J591" s="208"/>
      <c r="K591" s="208"/>
      <c r="L591" s="208"/>
      <c r="M591" s="208"/>
      <c r="N591" s="208"/>
      <c r="O591" s="208"/>
      <c r="P591" s="208"/>
      <c r="Q591" s="208"/>
      <c r="R591" s="208"/>
      <c r="S591" s="208"/>
      <c r="T591" s="208"/>
      <c r="U591" s="208"/>
      <c r="V591" s="208"/>
      <c r="W591" s="208"/>
      <c r="X591" s="208"/>
      <c r="Y591" s="208"/>
      <c r="Z591" s="208"/>
    </row>
    <row r="592" ht="12.0" customHeight="1">
      <c r="A592" s="208"/>
      <c r="B592" s="208"/>
      <c r="C592" s="208"/>
      <c r="D592" s="208"/>
      <c r="E592" s="208"/>
      <c r="F592" s="208"/>
      <c r="G592" s="208"/>
      <c r="H592" s="208"/>
      <c r="I592" s="208"/>
      <c r="J592" s="208"/>
      <c r="K592" s="208"/>
      <c r="L592" s="208"/>
      <c r="M592" s="208"/>
      <c r="N592" s="208"/>
      <c r="O592" s="208"/>
      <c r="P592" s="208"/>
      <c r="Q592" s="208"/>
      <c r="R592" s="208"/>
      <c r="S592" s="208"/>
      <c r="T592" s="208"/>
      <c r="U592" s="208"/>
      <c r="V592" s="208"/>
      <c r="W592" s="208"/>
      <c r="X592" s="208"/>
      <c r="Y592" s="208"/>
      <c r="Z592" s="208"/>
    </row>
    <row r="593" ht="12.0" customHeight="1">
      <c r="A593" s="208"/>
      <c r="B593" s="208"/>
      <c r="C593" s="208"/>
      <c r="D593" s="208"/>
      <c r="E593" s="208"/>
      <c r="F593" s="208"/>
      <c r="G593" s="208"/>
      <c r="H593" s="208"/>
      <c r="I593" s="208"/>
      <c r="J593" s="208"/>
      <c r="K593" s="208"/>
      <c r="L593" s="208"/>
      <c r="M593" s="208"/>
      <c r="N593" s="208"/>
      <c r="O593" s="208"/>
      <c r="P593" s="208"/>
      <c r="Q593" s="208"/>
      <c r="R593" s="208"/>
      <c r="S593" s="208"/>
      <c r="T593" s="208"/>
      <c r="U593" s="208"/>
      <c r="V593" s="208"/>
      <c r="W593" s="208"/>
      <c r="X593" s="208"/>
      <c r="Y593" s="208"/>
      <c r="Z593" s="208"/>
    </row>
    <row r="594" ht="12.0" customHeight="1">
      <c r="A594" s="208"/>
      <c r="B594" s="208"/>
      <c r="C594" s="208"/>
      <c r="D594" s="208"/>
      <c r="E594" s="208"/>
      <c r="F594" s="208"/>
      <c r="G594" s="208"/>
      <c r="H594" s="208"/>
      <c r="I594" s="208"/>
      <c r="J594" s="208"/>
      <c r="K594" s="208"/>
      <c r="L594" s="208"/>
      <c r="M594" s="208"/>
      <c r="N594" s="208"/>
      <c r="O594" s="208"/>
      <c r="P594" s="208"/>
      <c r="Q594" s="208"/>
      <c r="R594" s="208"/>
      <c r="S594" s="208"/>
      <c r="T594" s="208"/>
      <c r="U594" s="208"/>
      <c r="V594" s="208"/>
      <c r="W594" s="208"/>
      <c r="X594" s="208"/>
      <c r="Y594" s="208"/>
      <c r="Z594" s="208"/>
    </row>
    <row r="595" ht="12.0" customHeight="1">
      <c r="A595" s="208"/>
      <c r="B595" s="208"/>
      <c r="C595" s="208"/>
      <c r="D595" s="208"/>
      <c r="E595" s="208"/>
      <c r="F595" s="208"/>
      <c r="G595" s="208"/>
      <c r="H595" s="208"/>
      <c r="I595" s="208"/>
      <c r="J595" s="208"/>
      <c r="K595" s="208"/>
      <c r="L595" s="208"/>
      <c r="M595" s="208"/>
      <c r="N595" s="208"/>
      <c r="O595" s="208"/>
      <c r="P595" s="208"/>
      <c r="Q595" s="208"/>
      <c r="R595" s="208"/>
      <c r="S595" s="208"/>
      <c r="T595" s="208"/>
      <c r="U595" s="208"/>
      <c r="V595" s="208"/>
      <c r="W595" s="208"/>
      <c r="X595" s="208"/>
      <c r="Y595" s="208"/>
      <c r="Z595" s="208"/>
    </row>
    <row r="596" ht="12.0" customHeight="1">
      <c r="A596" s="208"/>
      <c r="B596" s="208"/>
      <c r="C596" s="208"/>
      <c r="D596" s="208"/>
      <c r="E596" s="208"/>
      <c r="F596" s="208"/>
      <c r="G596" s="208"/>
      <c r="H596" s="208"/>
      <c r="I596" s="208"/>
      <c r="J596" s="208"/>
      <c r="K596" s="208"/>
      <c r="L596" s="208"/>
      <c r="M596" s="208"/>
      <c r="N596" s="208"/>
      <c r="O596" s="208"/>
      <c r="P596" s="208"/>
      <c r="Q596" s="208"/>
      <c r="R596" s="208"/>
      <c r="S596" s="208"/>
      <c r="T596" s="208"/>
      <c r="U596" s="208"/>
      <c r="V596" s="208"/>
      <c r="W596" s="208"/>
      <c r="X596" s="208"/>
      <c r="Y596" s="208"/>
      <c r="Z596" s="208"/>
    </row>
    <row r="597" ht="12.0" customHeight="1">
      <c r="A597" s="208"/>
      <c r="B597" s="208"/>
      <c r="C597" s="208"/>
      <c r="D597" s="208"/>
      <c r="E597" s="208"/>
      <c r="F597" s="208"/>
      <c r="G597" s="208"/>
      <c r="H597" s="208"/>
      <c r="I597" s="208"/>
      <c r="J597" s="208"/>
      <c r="K597" s="208"/>
      <c r="L597" s="208"/>
      <c r="M597" s="208"/>
      <c r="N597" s="208"/>
      <c r="O597" s="208"/>
      <c r="P597" s="208"/>
      <c r="Q597" s="208"/>
      <c r="R597" s="208"/>
      <c r="S597" s="208"/>
      <c r="T597" s="208"/>
      <c r="U597" s="208"/>
      <c r="V597" s="208"/>
      <c r="W597" s="208"/>
      <c r="X597" s="208"/>
      <c r="Y597" s="208"/>
      <c r="Z597" s="208"/>
    </row>
    <row r="598" ht="12.0" customHeight="1">
      <c r="A598" s="208"/>
      <c r="B598" s="208"/>
      <c r="C598" s="208"/>
      <c r="D598" s="208"/>
      <c r="E598" s="208"/>
      <c r="F598" s="208"/>
      <c r="G598" s="208"/>
      <c r="H598" s="208"/>
      <c r="I598" s="208"/>
      <c r="J598" s="208"/>
      <c r="K598" s="208"/>
      <c r="L598" s="208"/>
      <c r="M598" s="208"/>
      <c r="N598" s="208"/>
      <c r="O598" s="208"/>
      <c r="P598" s="208"/>
      <c r="Q598" s="208"/>
      <c r="R598" s="208"/>
      <c r="S598" s="208"/>
      <c r="T598" s="208"/>
      <c r="U598" s="208"/>
      <c r="V598" s="208"/>
      <c r="W598" s="208"/>
      <c r="X598" s="208"/>
      <c r="Y598" s="208"/>
      <c r="Z598" s="208"/>
    </row>
    <row r="599" ht="12.0" customHeight="1">
      <c r="A599" s="208"/>
      <c r="B599" s="208"/>
      <c r="C599" s="208"/>
      <c r="D599" s="208"/>
      <c r="E599" s="208"/>
      <c r="F599" s="208"/>
      <c r="G599" s="208"/>
      <c r="H599" s="208"/>
      <c r="I599" s="208"/>
      <c r="J599" s="208"/>
      <c r="K599" s="208"/>
      <c r="L599" s="208"/>
      <c r="M599" s="208"/>
      <c r="N599" s="208"/>
      <c r="O599" s="208"/>
      <c r="P599" s="208"/>
      <c r="Q599" s="208"/>
      <c r="R599" s="208"/>
      <c r="S599" s="208"/>
      <c r="T599" s="208"/>
      <c r="U599" s="208"/>
      <c r="V599" s="208"/>
      <c r="W599" s="208"/>
      <c r="X599" s="208"/>
      <c r="Y599" s="208"/>
      <c r="Z599" s="208"/>
    </row>
    <row r="600" ht="12.0" customHeight="1">
      <c r="A600" s="208"/>
      <c r="B600" s="208"/>
      <c r="C600" s="208"/>
      <c r="D600" s="208"/>
      <c r="E600" s="208"/>
      <c r="F600" s="208"/>
      <c r="G600" s="208"/>
      <c r="H600" s="208"/>
      <c r="I600" s="208"/>
      <c r="J600" s="208"/>
      <c r="K600" s="208"/>
      <c r="L600" s="208"/>
      <c r="M600" s="208"/>
      <c r="N600" s="208"/>
      <c r="O600" s="208"/>
      <c r="P600" s="208"/>
      <c r="Q600" s="208"/>
      <c r="R600" s="208"/>
      <c r="S600" s="208"/>
      <c r="T600" s="208"/>
      <c r="U600" s="208"/>
      <c r="V600" s="208"/>
      <c r="W600" s="208"/>
      <c r="X600" s="208"/>
      <c r="Y600" s="208"/>
      <c r="Z600" s="208"/>
    </row>
    <row r="601" ht="12.0" customHeight="1">
      <c r="A601" s="208"/>
      <c r="B601" s="208"/>
      <c r="C601" s="208"/>
      <c r="D601" s="208"/>
      <c r="E601" s="208"/>
      <c r="F601" s="208"/>
      <c r="G601" s="208"/>
      <c r="H601" s="208"/>
      <c r="I601" s="208"/>
      <c r="J601" s="208"/>
      <c r="K601" s="208"/>
      <c r="L601" s="208"/>
      <c r="M601" s="208"/>
      <c r="N601" s="208"/>
      <c r="O601" s="208"/>
      <c r="P601" s="208"/>
      <c r="Q601" s="208"/>
      <c r="R601" s="208"/>
      <c r="S601" s="208"/>
      <c r="T601" s="208"/>
      <c r="U601" s="208"/>
      <c r="V601" s="208"/>
      <c r="W601" s="208"/>
      <c r="X601" s="208"/>
      <c r="Y601" s="208"/>
      <c r="Z601" s="208"/>
    </row>
    <row r="602" ht="12.0" customHeight="1">
      <c r="A602" s="208"/>
      <c r="B602" s="208"/>
      <c r="C602" s="208"/>
      <c r="D602" s="208"/>
      <c r="E602" s="208"/>
      <c r="F602" s="208"/>
      <c r="G602" s="208"/>
      <c r="H602" s="208"/>
      <c r="I602" s="208"/>
      <c r="J602" s="208"/>
      <c r="K602" s="208"/>
      <c r="L602" s="208"/>
      <c r="M602" s="208"/>
      <c r="N602" s="208"/>
      <c r="O602" s="208"/>
      <c r="P602" s="208"/>
      <c r="Q602" s="208"/>
      <c r="R602" s="208"/>
      <c r="S602" s="208"/>
      <c r="T602" s="208"/>
      <c r="U602" s="208"/>
      <c r="V602" s="208"/>
      <c r="W602" s="208"/>
      <c r="X602" s="208"/>
      <c r="Y602" s="208"/>
      <c r="Z602" s="208"/>
    </row>
    <row r="603" ht="12.0" customHeight="1">
      <c r="A603" s="208"/>
      <c r="B603" s="208"/>
      <c r="C603" s="208"/>
      <c r="D603" s="208"/>
      <c r="E603" s="208"/>
      <c r="F603" s="208"/>
      <c r="G603" s="208"/>
      <c r="H603" s="208"/>
      <c r="I603" s="208"/>
      <c r="J603" s="208"/>
      <c r="K603" s="208"/>
      <c r="L603" s="208"/>
      <c r="M603" s="208"/>
      <c r="N603" s="208"/>
      <c r="O603" s="208"/>
      <c r="P603" s="208"/>
      <c r="Q603" s="208"/>
      <c r="R603" s="208"/>
      <c r="S603" s="208"/>
      <c r="T603" s="208"/>
      <c r="U603" s="208"/>
      <c r="V603" s="208"/>
      <c r="W603" s="208"/>
      <c r="X603" s="208"/>
      <c r="Y603" s="208"/>
      <c r="Z603" s="208"/>
    </row>
    <row r="604" ht="12.0" customHeight="1">
      <c r="A604" s="208"/>
      <c r="B604" s="208"/>
      <c r="C604" s="208"/>
      <c r="D604" s="208"/>
      <c r="E604" s="208"/>
      <c r="F604" s="208"/>
      <c r="G604" s="208"/>
      <c r="H604" s="208"/>
      <c r="I604" s="208"/>
      <c r="J604" s="208"/>
      <c r="K604" s="208"/>
      <c r="L604" s="208"/>
      <c r="M604" s="208"/>
      <c r="N604" s="208"/>
      <c r="O604" s="208"/>
      <c r="P604" s="208"/>
      <c r="Q604" s="208"/>
      <c r="R604" s="208"/>
      <c r="S604" s="208"/>
      <c r="T604" s="208"/>
      <c r="U604" s="208"/>
      <c r="V604" s="208"/>
      <c r="W604" s="208"/>
      <c r="X604" s="208"/>
      <c r="Y604" s="208"/>
      <c r="Z604" s="208"/>
    </row>
    <row r="605" ht="12.0" customHeight="1">
      <c r="A605" s="208"/>
      <c r="B605" s="208"/>
      <c r="C605" s="208"/>
      <c r="D605" s="208"/>
      <c r="E605" s="208"/>
      <c r="F605" s="208"/>
      <c r="G605" s="208"/>
      <c r="H605" s="208"/>
      <c r="I605" s="208"/>
      <c r="J605" s="208"/>
      <c r="K605" s="208"/>
      <c r="L605" s="208"/>
      <c r="M605" s="208"/>
      <c r="N605" s="208"/>
      <c r="O605" s="208"/>
      <c r="P605" s="208"/>
      <c r="Q605" s="208"/>
      <c r="R605" s="208"/>
      <c r="S605" s="208"/>
      <c r="T605" s="208"/>
      <c r="U605" s="208"/>
      <c r="V605" s="208"/>
      <c r="W605" s="208"/>
      <c r="X605" s="208"/>
      <c r="Y605" s="208"/>
      <c r="Z605" s="208"/>
    </row>
    <row r="606" ht="12.0" customHeight="1">
      <c r="A606" s="208"/>
      <c r="B606" s="208"/>
      <c r="C606" s="208"/>
      <c r="D606" s="208"/>
      <c r="E606" s="208"/>
      <c r="F606" s="208"/>
      <c r="G606" s="208"/>
      <c r="H606" s="208"/>
      <c r="I606" s="208"/>
      <c r="J606" s="208"/>
      <c r="K606" s="208"/>
      <c r="L606" s="208"/>
      <c r="M606" s="208"/>
      <c r="N606" s="208"/>
      <c r="O606" s="208"/>
      <c r="P606" s="208"/>
      <c r="Q606" s="208"/>
      <c r="R606" s="208"/>
      <c r="S606" s="208"/>
      <c r="T606" s="208"/>
      <c r="U606" s="208"/>
      <c r="V606" s="208"/>
      <c r="W606" s="208"/>
      <c r="X606" s="208"/>
      <c r="Y606" s="208"/>
      <c r="Z606" s="208"/>
    </row>
    <row r="607" ht="12.0" customHeight="1">
      <c r="A607" s="208"/>
      <c r="B607" s="208"/>
      <c r="C607" s="208"/>
      <c r="D607" s="208"/>
      <c r="E607" s="208"/>
      <c r="F607" s="208"/>
      <c r="G607" s="208"/>
      <c r="H607" s="208"/>
      <c r="I607" s="208"/>
      <c r="J607" s="208"/>
      <c r="K607" s="208"/>
      <c r="L607" s="208"/>
      <c r="M607" s="208"/>
      <c r="N607" s="208"/>
      <c r="O607" s="208"/>
      <c r="P607" s="208"/>
      <c r="Q607" s="208"/>
      <c r="R607" s="208"/>
      <c r="S607" s="208"/>
      <c r="T607" s="208"/>
      <c r="U607" s="208"/>
      <c r="V607" s="208"/>
      <c r="W607" s="208"/>
      <c r="X607" s="208"/>
      <c r="Y607" s="208"/>
      <c r="Z607" s="208"/>
    </row>
    <row r="608" ht="12.0" customHeight="1">
      <c r="A608" s="208"/>
      <c r="B608" s="208"/>
      <c r="C608" s="208"/>
      <c r="D608" s="208"/>
      <c r="E608" s="208"/>
      <c r="F608" s="208"/>
      <c r="G608" s="208"/>
      <c r="H608" s="208"/>
      <c r="I608" s="208"/>
      <c r="J608" s="208"/>
      <c r="K608" s="208"/>
      <c r="L608" s="208"/>
      <c r="M608" s="208"/>
      <c r="N608" s="208"/>
      <c r="O608" s="208"/>
      <c r="P608" s="208"/>
      <c r="Q608" s="208"/>
      <c r="R608" s="208"/>
      <c r="S608" s="208"/>
      <c r="T608" s="208"/>
      <c r="U608" s="208"/>
      <c r="V608" s="208"/>
      <c r="W608" s="208"/>
      <c r="X608" s="208"/>
      <c r="Y608" s="208"/>
      <c r="Z608" s="208"/>
    </row>
    <row r="609" ht="12.0" customHeight="1">
      <c r="A609" s="208"/>
      <c r="B609" s="208"/>
      <c r="C609" s="208"/>
      <c r="D609" s="208"/>
      <c r="E609" s="208"/>
      <c r="F609" s="208"/>
      <c r="G609" s="208"/>
      <c r="H609" s="208"/>
      <c r="I609" s="208"/>
      <c r="J609" s="208"/>
      <c r="K609" s="208"/>
      <c r="L609" s="208"/>
      <c r="M609" s="208"/>
      <c r="N609" s="208"/>
      <c r="O609" s="208"/>
      <c r="P609" s="208"/>
      <c r="Q609" s="208"/>
      <c r="R609" s="208"/>
      <c r="S609" s="208"/>
      <c r="T609" s="208"/>
      <c r="U609" s="208"/>
      <c r="V609" s="208"/>
      <c r="W609" s="208"/>
      <c r="X609" s="208"/>
      <c r="Y609" s="208"/>
      <c r="Z609" s="208"/>
    </row>
    <row r="610" ht="12.0" customHeight="1">
      <c r="A610" s="208"/>
      <c r="B610" s="208"/>
      <c r="C610" s="208"/>
      <c r="D610" s="208"/>
      <c r="E610" s="208"/>
      <c r="F610" s="208"/>
      <c r="G610" s="208"/>
      <c r="H610" s="208"/>
      <c r="I610" s="208"/>
      <c r="J610" s="208"/>
      <c r="K610" s="208"/>
      <c r="L610" s="208"/>
      <c r="M610" s="208"/>
      <c r="N610" s="208"/>
      <c r="O610" s="208"/>
      <c r="P610" s="208"/>
      <c r="Q610" s="208"/>
      <c r="R610" s="208"/>
      <c r="S610" s="208"/>
      <c r="T610" s="208"/>
      <c r="U610" s="208"/>
      <c r="V610" s="208"/>
      <c r="W610" s="208"/>
      <c r="X610" s="208"/>
      <c r="Y610" s="208"/>
      <c r="Z610" s="208"/>
    </row>
    <row r="611" ht="12.0" customHeight="1">
      <c r="A611" s="208"/>
      <c r="B611" s="208"/>
      <c r="C611" s="208"/>
      <c r="D611" s="208"/>
      <c r="E611" s="208"/>
      <c r="F611" s="208"/>
      <c r="G611" s="208"/>
      <c r="H611" s="208"/>
      <c r="I611" s="208"/>
      <c r="J611" s="208"/>
      <c r="K611" s="208"/>
      <c r="L611" s="208"/>
      <c r="M611" s="208"/>
      <c r="N611" s="208"/>
      <c r="O611" s="208"/>
      <c r="P611" s="208"/>
      <c r="Q611" s="208"/>
      <c r="R611" s="208"/>
      <c r="S611" s="208"/>
      <c r="T611" s="208"/>
      <c r="U611" s="208"/>
      <c r="V611" s="208"/>
      <c r="W611" s="208"/>
      <c r="X611" s="208"/>
      <c r="Y611" s="208"/>
      <c r="Z611" s="208"/>
    </row>
    <row r="612" ht="12.0" customHeight="1">
      <c r="A612" s="208"/>
      <c r="B612" s="208"/>
      <c r="C612" s="208"/>
      <c r="D612" s="208"/>
      <c r="E612" s="208"/>
      <c r="F612" s="208"/>
      <c r="G612" s="208"/>
      <c r="H612" s="208"/>
      <c r="I612" s="208"/>
      <c r="J612" s="208"/>
      <c r="K612" s="208"/>
      <c r="L612" s="208"/>
      <c r="M612" s="208"/>
      <c r="N612" s="208"/>
      <c r="O612" s="208"/>
      <c r="P612" s="208"/>
      <c r="Q612" s="208"/>
      <c r="R612" s="208"/>
      <c r="S612" s="208"/>
      <c r="T612" s="208"/>
      <c r="U612" s="208"/>
      <c r="V612" s="208"/>
      <c r="W612" s="208"/>
      <c r="X612" s="208"/>
      <c r="Y612" s="208"/>
      <c r="Z612" s="208"/>
    </row>
    <row r="613" ht="12.0" customHeight="1">
      <c r="A613" s="208"/>
      <c r="B613" s="208"/>
      <c r="C613" s="208"/>
      <c r="D613" s="208"/>
      <c r="E613" s="208"/>
      <c r="F613" s="208"/>
      <c r="G613" s="208"/>
      <c r="H613" s="208"/>
      <c r="I613" s="208"/>
      <c r="J613" s="208"/>
      <c r="K613" s="208"/>
      <c r="L613" s="208"/>
      <c r="M613" s="208"/>
      <c r="N613" s="208"/>
      <c r="O613" s="208"/>
      <c r="P613" s="208"/>
      <c r="Q613" s="208"/>
      <c r="R613" s="208"/>
      <c r="S613" s="208"/>
      <c r="T613" s="208"/>
      <c r="U613" s="208"/>
      <c r="V613" s="208"/>
      <c r="W613" s="208"/>
      <c r="X613" s="208"/>
      <c r="Y613" s="208"/>
      <c r="Z613" s="208"/>
    </row>
    <row r="614" ht="12.0" customHeight="1">
      <c r="A614" s="208"/>
      <c r="B614" s="208"/>
      <c r="C614" s="208"/>
      <c r="D614" s="208"/>
      <c r="E614" s="208"/>
      <c r="F614" s="208"/>
      <c r="G614" s="208"/>
      <c r="H614" s="208"/>
      <c r="I614" s="208"/>
      <c r="J614" s="208"/>
      <c r="K614" s="208"/>
      <c r="L614" s="208"/>
      <c r="M614" s="208"/>
      <c r="N614" s="208"/>
      <c r="O614" s="208"/>
      <c r="P614" s="208"/>
      <c r="Q614" s="208"/>
      <c r="R614" s="208"/>
      <c r="S614" s="208"/>
      <c r="T614" s="208"/>
      <c r="U614" s="208"/>
      <c r="V614" s="208"/>
      <c r="W614" s="208"/>
      <c r="X614" s="208"/>
      <c r="Y614" s="208"/>
      <c r="Z614" s="208"/>
    </row>
    <row r="615" ht="12.0" customHeight="1">
      <c r="A615" s="208"/>
      <c r="B615" s="208"/>
      <c r="C615" s="208"/>
      <c r="D615" s="208"/>
      <c r="E615" s="208"/>
      <c r="F615" s="208"/>
      <c r="G615" s="208"/>
      <c r="H615" s="208"/>
      <c r="I615" s="208"/>
      <c r="J615" s="208"/>
      <c r="K615" s="208"/>
      <c r="L615" s="208"/>
      <c r="M615" s="208"/>
      <c r="N615" s="208"/>
      <c r="O615" s="208"/>
      <c r="P615" s="208"/>
      <c r="Q615" s="208"/>
      <c r="R615" s="208"/>
      <c r="S615" s="208"/>
      <c r="T615" s="208"/>
      <c r="U615" s="208"/>
      <c r="V615" s="208"/>
      <c r="W615" s="208"/>
      <c r="X615" s="208"/>
      <c r="Y615" s="208"/>
      <c r="Z615" s="208"/>
    </row>
    <row r="616" ht="12.0" customHeight="1">
      <c r="A616" s="208"/>
      <c r="B616" s="208"/>
      <c r="C616" s="208"/>
      <c r="D616" s="208"/>
      <c r="E616" s="208"/>
      <c r="F616" s="208"/>
      <c r="G616" s="208"/>
      <c r="H616" s="208"/>
      <c r="I616" s="208"/>
      <c r="J616" s="208"/>
      <c r="K616" s="208"/>
      <c r="L616" s="208"/>
      <c r="M616" s="208"/>
      <c r="N616" s="208"/>
      <c r="O616" s="208"/>
      <c r="P616" s="208"/>
      <c r="Q616" s="208"/>
      <c r="R616" s="208"/>
      <c r="S616" s="208"/>
      <c r="T616" s="208"/>
      <c r="U616" s="208"/>
      <c r="V616" s="208"/>
      <c r="W616" s="208"/>
      <c r="X616" s="208"/>
      <c r="Y616" s="208"/>
      <c r="Z616" s="208"/>
    </row>
    <row r="617" ht="12.0" customHeight="1">
      <c r="A617" s="208"/>
      <c r="B617" s="208"/>
      <c r="C617" s="208"/>
      <c r="D617" s="208"/>
      <c r="E617" s="208"/>
      <c r="F617" s="208"/>
      <c r="G617" s="208"/>
      <c r="H617" s="208"/>
      <c r="I617" s="208"/>
      <c r="J617" s="208"/>
      <c r="K617" s="208"/>
      <c r="L617" s="208"/>
      <c r="M617" s="208"/>
      <c r="N617" s="208"/>
      <c r="O617" s="208"/>
      <c r="P617" s="208"/>
      <c r="Q617" s="208"/>
      <c r="R617" s="208"/>
      <c r="S617" s="208"/>
      <c r="T617" s="208"/>
      <c r="U617" s="208"/>
      <c r="V617" s="208"/>
      <c r="W617" s="208"/>
      <c r="X617" s="208"/>
      <c r="Y617" s="208"/>
      <c r="Z617" s="208"/>
    </row>
    <row r="618" ht="12.0" customHeight="1">
      <c r="A618" s="208"/>
      <c r="B618" s="208"/>
      <c r="C618" s="208"/>
      <c r="D618" s="208"/>
      <c r="E618" s="208"/>
      <c r="F618" s="208"/>
      <c r="G618" s="208"/>
      <c r="H618" s="208"/>
      <c r="I618" s="208"/>
      <c r="J618" s="208"/>
      <c r="K618" s="208"/>
      <c r="L618" s="208"/>
      <c r="M618" s="208"/>
      <c r="N618" s="208"/>
      <c r="O618" s="208"/>
      <c r="P618" s="208"/>
      <c r="Q618" s="208"/>
      <c r="R618" s="208"/>
      <c r="S618" s="208"/>
      <c r="T618" s="208"/>
      <c r="U618" s="208"/>
      <c r="V618" s="208"/>
      <c r="W618" s="208"/>
      <c r="X618" s="208"/>
      <c r="Y618" s="208"/>
      <c r="Z618" s="208"/>
    </row>
    <row r="619" ht="12.0" customHeight="1">
      <c r="A619" s="208"/>
      <c r="B619" s="208"/>
      <c r="C619" s="208"/>
      <c r="D619" s="208"/>
      <c r="E619" s="208"/>
      <c r="F619" s="208"/>
      <c r="G619" s="208"/>
      <c r="H619" s="208"/>
      <c r="I619" s="208"/>
      <c r="J619" s="208"/>
      <c r="K619" s="208"/>
      <c r="L619" s="208"/>
      <c r="M619" s="208"/>
      <c r="N619" s="208"/>
      <c r="O619" s="208"/>
      <c r="P619" s="208"/>
      <c r="Q619" s="208"/>
      <c r="R619" s="208"/>
      <c r="S619" s="208"/>
      <c r="T619" s="208"/>
      <c r="U619" s="208"/>
      <c r="V619" s="208"/>
      <c r="W619" s="208"/>
      <c r="X619" s="208"/>
      <c r="Y619" s="208"/>
      <c r="Z619" s="208"/>
    </row>
    <row r="620" ht="12.0" customHeight="1">
      <c r="A620" s="208"/>
      <c r="B620" s="208"/>
      <c r="C620" s="208"/>
      <c r="D620" s="208"/>
      <c r="E620" s="208"/>
      <c r="F620" s="208"/>
      <c r="G620" s="208"/>
      <c r="H620" s="208"/>
      <c r="I620" s="208"/>
      <c r="J620" s="208"/>
      <c r="K620" s="208"/>
      <c r="L620" s="208"/>
      <c r="M620" s="208"/>
      <c r="N620" s="208"/>
      <c r="O620" s="208"/>
      <c r="P620" s="208"/>
      <c r="Q620" s="208"/>
      <c r="R620" s="208"/>
      <c r="S620" s="208"/>
      <c r="T620" s="208"/>
      <c r="U620" s="208"/>
      <c r="V620" s="208"/>
      <c r="W620" s="208"/>
      <c r="X620" s="208"/>
      <c r="Y620" s="208"/>
      <c r="Z620" s="208"/>
    </row>
    <row r="621" ht="12.0" customHeight="1">
      <c r="A621" s="208"/>
      <c r="B621" s="208"/>
      <c r="C621" s="208"/>
      <c r="D621" s="208"/>
      <c r="E621" s="208"/>
      <c r="F621" s="208"/>
      <c r="G621" s="208"/>
      <c r="H621" s="208"/>
      <c r="I621" s="208"/>
      <c r="J621" s="208"/>
      <c r="K621" s="208"/>
      <c r="L621" s="208"/>
      <c r="M621" s="208"/>
      <c r="N621" s="208"/>
      <c r="O621" s="208"/>
      <c r="P621" s="208"/>
      <c r="Q621" s="208"/>
      <c r="R621" s="208"/>
      <c r="S621" s="208"/>
      <c r="T621" s="208"/>
      <c r="U621" s="208"/>
      <c r="V621" s="208"/>
      <c r="W621" s="208"/>
      <c r="X621" s="208"/>
      <c r="Y621" s="208"/>
      <c r="Z621" s="208"/>
    </row>
    <row r="622" ht="12.0" customHeight="1">
      <c r="A622" s="208"/>
      <c r="B622" s="208"/>
      <c r="C622" s="208"/>
      <c r="D622" s="208"/>
      <c r="E622" s="208"/>
      <c r="F622" s="208"/>
      <c r="G622" s="208"/>
      <c r="H622" s="208"/>
      <c r="I622" s="208"/>
      <c r="J622" s="208"/>
      <c r="K622" s="208"/>
      <c r="L622" s="208"/>
      <c r="M622" s="208"/>
      <c r="N622" s="208"/>
      <c r="O622" s="208"/>
      <c r="P622" s="208"/>
      <c r="Q622" s="208"/>
      <c r="R622" s="208"/>
      <c r="S622" s="208"/>
      <c r="T622" s="208"/>
      <c r="U622" s="208"/>
      <c r="V622" s="208"/>
      <c r="W622" s="208"/>
      <c r="X622" s="208"/>
      <c r="Y622" s="208"/>
      <c r="Z622" s="208"/>
    </row>
    <row r="623" ht="12.0" customHeight="1">
      <c r="A623" s="208"/>
      <c r="B623" s="208"/>
      <c r="C623" s="208"/>
      <c r="D623" s="208"/>
      <c r="E623" s="208"/>
      <c r="F623" s="208"/>
      <c r="G623" s="208"/>
      <c r="H623" s="208"/>
      <c r="I623" s="208"/>
      <c r="J623" s="208"/>
      <c r="K623" s="208"/>
      <c r="L623" s="208"/>
      <c r="M623" s="208"/>
      <c r="N623" s="208"/>
      <c r="O623" s="208"/>
      <c r="P623" s="208"/>
      <c r="Q623" s="208"/>
      <c r="R623" s="208"/>
      <c r="S623" s="208"/>
      <c r="T623" s="208"/>
      <c r="U623" s="208"/>
      <c r="V623" s="208"/>
      <c r="W623" s="208"/>
      <c r="X623" s="208"/>
      <c r="Y623" s="208"/>
      <c r="Z623" s="208"/>
    </row>
    <row r="624" ht="12.0" customHeight="1">
      <c r="A624" s="208"/>
      <c r="B624" s="208"/>
      <c r="C624" s="208"/>
      <c r="D624" s="208"/>
      <c r="E624" s="208"/>
      <c r="F624" s="208"/>
      <c r="G624" s="208"/>
      <c r="H624" s="208"/>
      <c r="I624" s="208"/>
      <c r="J624" s="208"/>
      <c r="K624" s="208"/>
      <c r="L624" s="208"/>
      <c r="M624" s="208"/>
      <c r="N624" s="208"/>
      <c r="O624" s="208"/>
      <c r="P624" s="208"/>
      <c r="Q624" s="208"/>
      <c r="R624" s="208"/>
      <c r="S624" s="208"/>
      <c r="T624" s="208"/>
      <c r="U624" s="208"/>
      <c r="V624" s="208"/>
      <c r="W624" s="208"/>
      <c r="X624" s="208"/>
      <c r="Y624" s="208"/>
      <c r="Z624" s="208"/>
    </row>
    <row r="625" ht="12.0" customHeight="1">
      <c r="A625" s="208"/>
      <c r="B625" s="208"/>
      <c r="C625" s="208"/>
      <c r="D625" s="208"/>
      <c r="E625" s="208"/>
      <c r="F625" s="208"/>
      <c r="G625" s="208"/>
      <c r="H625" s="208"/>
      <c r="I625" s="208"/>
      <c r="J625" s="208"/>
      <c r="K625" s="208"/>
      <c r="L625" s="208"/>
      <c r="M625" s="208"/>
      <c r="N625" s="208"/>
      <c r="O625" s="208"/>
      <c r="P625" s="208"/>
      <c r="Q625" s="208"/>
      <c r="R625" s="208"/>
      <c r="S625" s="208"/>
      <c r="T625" s="208"/>
      <c r="U625" s="208"/>
      <c r="V625" s="208"/>
      <c r="W625" s="208"/>
      <c r="X625" s="208"/>
      <c r="Y625" s="208"/>
      <c r="Z625" s="208"/>
    </row>
    <row r="626" ht="12.0" customHeight="1">
      <c r="A626" s="208"/>
      <c r="B626" s="208"/>
      <c r="C626" s="208"/>
      <c r="D626" s="208"/>
      <c r="E626" s="208"/>
      <c r="F626" s="208"/>
      <c r="G626" s="208"/>
      <c r="H626" s="208"/>
      <c r="I626" s="208"/>
      <c r="J626" s="208"/>
      <c r="K626" s="208"/>
      <c r="L626" s="208"/>
      <c r="M626" s="208"/>
      <c r="N626" s="208"/>
      <c r="O626" s="208"/>
      <c r="P626" s="208"/>
      <c r="Q626" s="208"/>
      <c r="R626" s="208"/>
      <c r="S626" s="208"/>
      <c r="T626" s="208"/>
      <c r="U626" s="208"/>
      <c r="V626" s="208"/>
      <c r="W626" s="208"/>
      <c r="X626" s="208"/>
      <c r="Y626" s="208"/>
      <c r="Z626" s="208"/>
    </row>
    <row r="627" ht="12.0" customHeight="1">
      <c r="A627" s="208"/>
      <c r="B627" s="208"/>
      <c r="C627" s="208"/>
      <c r="D627" s="208"/>
      <c r="E627" s="208"/>
      <c r="F627" s="208"/>
      <c r="G627" s="208"/>
      <c r="H627" s="208"/>
      <c r="I627" s="208"/>
      <c r="J627" s="208"/>
      <c r="K627" s="208"/>
      <c r="L627" s="208"/>
      <c r="M627" s="208"/>
      <c r="N627" s="208"/>
      <c r="O627" s="208"/>
      <c r="P627" s="208"/>
      <c r="Q627" s="208"/>
      <c r="R627" s="208"/>
      <c r="S627" s="208"/>
      <c r="T627" s="208"/>
      <c r="U627" s="208"/>
      <c r="V627" s="208"/>
      <c r="W627" s="208"/>
      <c r="X627" s="208"/>
      <c r="Y627" s="208"/>
      <c r="Z627" s="208"/>
    </row>
    <row r="628" ht="12.0" customHeight="1">
      <c r="A628" s="208"/>
      <c r="B628" s="208"/>
      <c r="C628" s="208"/>
      <c r="D628" s="208"/>
      <c r="E628" s="208"/>
      <c r="F628" s="208"/>
      <c r="G628" s="208"/>
      <c r="H628" s="208"/>
      <c r="I628" s="208"/>
      <c r="J628" s="208"/>
      <c r="K628" s="208"/>
      <c r="L628" s="208"/>
      <c r="M628" s="208"/>
      <c r="N628" s="208"/>
      <c r="O628" s="208"/>
      <c r="P628" s="208"/>
      <c r="Q628" s="208"/>
      <c r="R628" s="208"/>
      <c r="S628" s="208"/>
      <c r="T628" s="208"/>
      <c r="U628" s="208"/>
      <c r="V628" s="208"/>
      <c r="W628" s="208"/>
      <c r="X628" s="208"/>
      <c r="Y628" s="208"/>
      <c r="Z628" s="208"/>
    </row>
    <row r="629" ht="12.0" customHeight="1">
      <c r="A629" s="208"/>
      <c r="B629" s="208"/>
      <c r="C629" s="208"/>
      <c r="D629" s="208"/>
      <c r="E629" s="208"/>
      <c r="F629" s="208"/>
      <c r="G629" s="208"/>
      <c r="H629" s="208"/>
      <c r="I629" s="208"/>
      <c r="J629" s="208"/>
      <c r="K629" s="208"/>
      <c r="L629" s="208"/>
      <c r="M629" s="208"/>
      <c r="N629" s="208"/>
      <c r="O629" s="208"/>
      <c r="P629" s="208"/>
      <c r="Q629" s="208"/>
      <c r="R629" s="208"/>
      <c r="S629" s="208"/>
      <c r="T629" s="208"/>
      <c r="U629" s="208"/>
      <c r="V629" s="208"/>
      <c r="W629" s="208"/>
      <c r="X629" s="208"/>
      <c r="Y629" s="208"/>
      <c r="Z629" s="208"/>
    </row>
    <row r="630" ht="12.0" customHeight="1">
      <c r="A630" s="208"/>
      <c r="B630" s="208"/>
      <c r="C630" s="208"/>
      <c r="D630" s="208"/>
      <c r="E630" s="208"/>
      <c r="F630" s="208"/>
      <c r="G630" s="208"/>
      <c r="H630" s="208"/>
      <c r="I630" s="208"/>
      <c r="J630" s="208"/>
      <c r="K630" s="208"/>
      <c r="L630" s="208"/>
      <c r="M630" s="208"/>
      <c r="N630" s="208"/>
      <c r="O630" s="208"/>
      <c r="P630" s="208"/>
      <c r="Q630" s="208"/>
      <c r="R630" s="208"/>
      <c r="S630" s="208"/>
      <c r="T630" s="208"/>
      <c r="U630" s="208"/>
      <c r="V630" s="208"/>
      <c r="W630" s="208"/>
      <c r="X630" s="208"/>
      <c r="Y630" s="208"/>
      <c r="Z630" s="208"/>
    </row>
    <row r="631" ht="12.0" customHeight="1">
      <c r="A631" s="208"/>
      <c r="B631" s="208"/>
      <c r="C631" s="208"/>
      <c r="D631" s="208"/>
      <c r="E631" s="208"/>
      <c r="F631" s="208"/>
      <c r="G631" s="208"/>
      <c r="H631" s="208"/>
      <c r="I631" s="208"/>
      <c r="J631" s="208"/>
      <c r="K631" s="208"/>
      <c r="L631" s="208"/>
      <c r="M631" s="208"/>
      <c r="N631" s="208"/>
      <c r="O631" s="208"/>
      <c r="P631" s="208"/>
      <c r="Q631" s="208"/>
      <c r="R631" s="208"/>
      <c r="S631" s="208"/>
      <c r="T631" s="208"/>
      <c r="U631" s="208"/>
      <c r="V631" s="208"/>
      <c r="W631" s="208"/>
      <c r="X631" s="208"/>
      <c r="Y631" s="208"/>
      <c r="Z631" s="208"/>
    </row>
    <row r="632" ht="12.0" customHeight="1">
      <c r="A632" s="208"/>
      <c r="B632" s="208"/>
      <c r="C632" s="208"/>
      <c r="D632" s="208"/>
      <c r="E632" s="208"/>
      <c r="F632" s="208"/>
      <c r="G632" s="208"/>
      <c r="H632" s="208"/>
      <c r="I632" s="208"/>
      <c r="J632" s="208"/>
      <c r="K632" s="208"/>
      <c r="L632" s="208"/>
      <c r="M632" s="208"/>
      <c r="N632" s="208"/>
      <c r="O632" s="208"/>
      <c r="P632" s="208"/>
      <c r="Q632" s="208"/>
      <c r="R632" s="208"/>
      <c r="S632" s="208"/>
      <c r="T632" s="208"/>
      <c r="U632" s="208"/>
      <c r="V632" s="208"/>
      <c r="W632" s="208"/>
      <c r="X632" s="208"/>
      <c r="Y632" s="208"/>
      <c r="Z632" s="208"/>
    </row>
    <row r="633" ht="12.0" customHeight="1">
      <c r="A633" s="208"/>
      <c r="B633" s="208"/>
      <c r="C633" s="208"/>
      <c r="D633" s="208"/>
      <c r="E633" s="208"/>
      <c r="F633" s="208"/>
      <c r="G633" s="208"/>
      <c r="H633" s="208"/>
      <c r="I633" s="208"/>
      <c r="J633" s="208"/>
      <c r="K633" s="208"/>
      <c r="L633" s="208"/>
      <c r="M633" s="208"/>
      <c r="N633" s="208"/>
      <c r="O633" s="208"/>
      <c r="P633" s="208"/>
      <c r="Q633" s="208"/>
      <c r="R633" s="208"/>
      <c r="S633" s="208"/>
      <c r="T633" s="208"/>
      <c r="U633" s="208"/>
      <c r="V633" s="208"/>
      <c r="W633" s="208"/>
      <c r="X633" s="208"/>
      <c r="Y633" s="208"/>
      <c r="Z633" s="208"/>
    </row>
    <row r="634" ht="12.0" customHeight="1">
      <c r="A634" s="208"/>
      <c r="B634" s="208"/>
      <c r="C634" s="208"/>
      <c r="D634" s="208"/>
      <c r="E634" s="208"/>
      <c r="F634" s="208"/>
      <c r="G634" s="208"/>
      <c r="H634" s="208"/>
      <c r="I634" s="208"/>
      <c r="J634" s="208"/>
      <c r="K634" s="208"/>
      <c r="L634" s="208"/>
      <c r="M634" s="208"/>
      <c r="N634" s="208"/>
      <c r="O634" s="208"/>
      <c r="P634" s="208"/>
      <c r="Q634" s="208"/>
      <c r="R634" s="208"/>
      <c r="S634" s="208"/>
      <c r="T634" s="208"/>
      <c r="U634" s="208"/>
      <c r="V634" s="208"/>
      <c r="W634" s="208"/>
      <c r="X634" s="208"/>
      <c r="Y634" s="208"/>
      <c r="Z634" s="208"/>
    </row>
    <row r="635" ht="12.0" customHeight="1">
      <c r="A635" s="208"/>
      <c r="B635" s="208"/>
      <c r="C635" s="208"/>
      <c r="D635" s="208"/>
      <c r="E635" s="208"/>
      <c r="F635" s="208"/>
      <c r="G635" s="208"/>
      <c r="H635" s="208"/>
      <c r="I635" s="208"/>
      <c r="J635" s="208"/>
      <c r="K635" s="208"/>
      <c r="L635" s="208"/>
      <c r="M635" s="208"/>
      <c r="N635" s="208"/>
      <c r="O635" s="208"/>
      <c r="P635" s="208"/>
      <c r="Q635" s="208"/>
      <c r="R635" s="208"/>
      <c r="S635" s="208"/>
      <c r="T635" s="208"/>
      <c r="U635" s="208"/>
      <c r="V635" s="208"/>
      <c r="W635" s="208"/>
      <c r="X635" s="208"/>
      <c r="Y635" s="208"/>
      <c r="Z635" s="208"/>
    </row>
    <row r="636" ht="12.0" customHeight="1">
      <c r="A636" s="208"/>
      <c r="B636" s="208"/>
      <c r="C636" s="208"/>
      <c r="D636" s="208"/>
      <c r="E636" s="208"/>
      <c r="F636" s="208"/>
      <c r="G636" s="208"/>
      <c r="H636" s="208"/>
      <c r="I636" s="208"/>
      <c r="J636" s="208"/>
      <c r="K636" s="208"/>
      <c r="L636" s="208"/>
      <c r="M636" s="208"/>
      <c r="N636" s="208"/>
      <c r="O636" s="208"/>
      <c r="P636" s="208"/>
      <c r="Q636" s="208"/>
      <c r="R636" s="208"/>
      <c r="S636" s="208"/>
      <c r="T636" s="208"/>
      <c r="U636" s="208"/>
      <c r="V636" s="208"/>
      <c r="W636" s="208"/>
      <c r="X636" s="208"/>
      <c r="Y636" s="208"/>
      <c r="Z636" s="208"/>
    </row>
    <row r="637" ht="12.0" customHeight="1">
      <c r="A637" s="208"/>
      <c r="B637" s="208"/>
      <c r="C637" s="208"/>
      <c r="D637" s="208"/>
      <c r="E637" s="208"/>
      <c r="F637" s="208"/>
      <c r="G637" s="208"/>
      <c r="H637" s="208"/>
      <c r="I637" s="208"/>
      <c r="J637" s="208"/>
      <c r="K637" s="208"/>
      <c r="L637" s="208"/>
      <c r="M637" s="208"/>
      <c r="N637" s="208"/>
      <c r="O637" s="208"/>
      <c r="P637" s="208"/>
      <c r="Q637" s="208"/>
      <c r="R637" s="208"/>
      <c r="S637" s="208"/>
      <c r="T637" s="208"/>
      <c r="U637" s="208"/>
      <c r="V637" s="208"/>
      <c r="W637" s="208"/>
      <c r="X637" s="208"/>
      <c r="Y637" s="208"/>
      <c r="Z637" s="208"/>
    </row>
    <row r="638" ht="12.0" customHeight="1">
      <c r="A638" s="208"/>
      <c r="B638" s="208"/>
      <c r="C638" s="208"/>
      <c r="D638" s="208"/>
      <c r="E638" s="208"/>
      <c r="F638" s="208"/>
      <c r="G638" s="208"/>
      <c r="H638" s="208"/>
      <c r="I638" s="208"/>
      <c r="J638" s="208"/>
      <c r="K638" s="208"/>
      <c r="L638" s="208"/>
      <c r="M638" s="208"/>
      <c r="N638" s="208"/>
      <c r="O638" s="208"/>
      <c r="P638" s="208"/>
      <c r="Q638" s="208"/>
      <c r="R638" s="208"/>
      <c r="S638" s="208"/>
      <c r="T638" s="208"/>
      <c r="U638" s="208"/>
      <c r="V638" s="208"/>
      <c r="W638" s="208"/>
      <c r="X638" s="208"/>
      <c r="Y638" s="208"/>
      <c r="Z638" s="208"/>
    </row>
    <row r="639" ht="12.0" customHeight="1">
      <c r="A639" s="208"/>
      <c r="B639" s="208"/>
      <c r="C639" s="208"/>
      <c r="D639" s="208"/>
      <c r="E639" s="208"/>
      <c r="F639" s="208"/>
      <c r="G639" s="208"/>
      <c r="H639" s="208"/>
      <c r="I639" s="208"/>
      <c r="J639" s="208"/>
      <c r="K639" s="208"/>
      <c r="L639" s="208"/>
      <c r="M639" s="208"/>
      <c r="N639" s="208"/>
      <c r="O639" s="208"/>
      <c r="P639" s="208"/>
      <c r="Q639" s="208"/>
      <c r="R639" s="208"/>
      <c r="S639" s="208"/>
      <c r="T639" s="208"/>
      <c r="U639" s="208"/>
      <c r="V639" s="208"/>
      <c r="W639" s="208"/>
      <c r="X639" s="208"/>
      <c r="Y639" s="208"/>
      <c r="Z639" s="208"/>
    </row>
    <row r="640" ht="12.0" customHeight="1">
      <c r="A640" s="208"/>
      <c r="B640" s="208"/>
      <c r="C640" s="208"/>
      <c r="D640" s="208"/>
      <c r="E640" s="208"/>
      <c r="F640" s="208"/>
      <c r="G640" s="208"/>
      <c r="H640" s="208"/>
      <c r="I640" s="208"/>
      <c r="J640" s="208"/>
      <c r="K640" s="208"/>
      <c r="L640" s="208"/>
      <c r="M640" s="208"/>
      <c r="N640" s="208"/>
      <c r="O640" s="208"/>
      <c r="P640" s="208"/>
      <c r="Q640" s="208"/>
      <c r="R640" s="208"/>
      <c r="S640" s="208"/>
      <c r="T640" s="208"/>
      <c r="U640" s="208"/>
      <c r="V640" s="208"/>
      <c r="W640" s="208"/>
      <c r="X640" s="208"/>
      <c r="Y640" s="208"/>
      <c r="Z640" s="208"/>
    </row>
    <row r="641" ht="12.0" customHeight="1">
      <c r="A641" s="208"/>
      <c r="B641" s="208"/>
      <c r="C641" s="208"/>
      <c r="D641" s="208"/>
      <c r="E641" s="208"/>
      <c r="F641" s="208"/>
      <c r="G641" s="208"/>
      <c r="H641" s="208"/>
      <c r="I641" s="208"/>
      <c r="J641" s="208"/>
      <c r="K641" s="208"/>
      <c r="L641" s="208"/>
      <c r="M641" s="208"/>
      <c r="N641" s="208"/>
      <c r="O641" s="208"/>
      <c r="P641" s="208"/>
      <c r="Q641" s="208"/>
      <c r="R641" s="208"/>
      <c r="S641" s="208"/>
      <c r="T641" s="208"/>
      <c r="U641" s="208"/>
      <c r="V641" s="208"/>
      <c r="W641" s="208"/>
      <c r="X641" s="208"/>
      <c r="Y641" s="208"/>
      <c r="Z641" s="208"/>
    </row>
    <row r="642" ht="12.0" customHeight="1">
      <c r="A642" s="208"/>
      <c r="B642" s="208"/>
      <c r="C642" s="208"/>
      <c r="D642" s="208"/>
      <c r="E642" s="208"/>
      <c r="F642" s="208"/>
      <c r="G642" s="208"/>
      <c r="H642" s="208"/>
      <c r="I642" s="208"/>
      <c r="J642" s="208"/>
      <c r="K642" s="208"/>
      <c r="L642" s="208"/>
      <c r="M642" s="208"/>
      <c r="N642" s="208"/>
      <c r="O642" s="208"/>
      <c r="P642" s="208"/>
      <c r="Q642" s="208"/>
      <c r="R642" s="208"/>
      <c r="S642" s="208"/>
      <c r="T642" s="208"/>
      <c r="U642" s="208"/>
      <c r="V642" s="208"/>
      <c r="W642" s="208"/>
      <c r="X642" s="208"/>
      <c r="Y642" s="208"/>
      <c r="Z642" s="208"/>
    </row>
    <row r="643" ht="12.0" customHeight="1">
      <c r="A643" s="208"/>
      <c r="B643" s="208"/>
      <c r="C643" s="208"/>
      <c r="D643" s="208"/>
      <c r="E643" s="208"/>
      <c r="F643" s="208"/>
      <c r="G643" s="208"/>
      <c r="H643" s="208"/>
      <c r="I643" s="208"/>
      <c r="J643" s="208"/>
      <c r="K643" s="208"/>
      <c r="L643" s="208"/>
      <c r="M643" s="208"/>
      <c r="N643" s="208"/>
      <c r="O643" s="208"/>
      <c r="P643" s="208"/>
      <c r="Q643" s="208"/>
      <c r="R643" s="208"/>
      <c r="S643" s="208"/>
      <c r="T643" s="208"/>
      <c r="U643" s="208"/>
      <c r="V643" s="208"/>
      <c r="W643" s="208"/>
      <c r="X643" s="208"/>
      <c r="Y643" s="208"/>
      <c r="Z643" s="208"/>
    </row>
    <row r="644" ht="12.0" customHeight="1">
      <c r="A644" s="208"/>
      <c r="B644" s="208"/>
      <c r="C644" s="208"/>
      <c r="D644" s="208"/>
      <c r="E644" s="208"/>
      <c r="F644" s="208"/>
      <c r="G644" s="208"/>
      <c r="H644" s="208"/>
      <c r="I644" s="208"/>
      <c r="J644" s="208"/>
      <c r="K644" s="208"/>
      <c r="L644" s="208"/>
      <c r="M644" s="208"/>
      <c r="N644" s="208"/>
      <c r="O644" s="208"/>
      <c r="P644" s="208"/>
      <c r="Q644" s="208"/>
      <c r="R644" s="208"/>
      <c r="S644" s="208"/>
      <c r="T644" s="208"/>
      <c r="U644" s="208"/>
      <c r="V644" s="208"/>
      <c r="W644" s="208"/>
      <c r="X644" s="208"/>
      <c r="Y644" s="208"/>
      <c r="Z644" s="208"/>
    </row>
    <row r="645" ht="12.0" customHeight="1">
      <c r="A645" s="208"/>
      <c r="B645" s="208"/>
      <c r="C645" s="208"/>
      <c r="D645" s="208"/>
      <c r="E645" s="208"/>
      <c r="F645" s="208"/>
      <c r="G645" s="208"/>
      <c r="H645" s="208"/>
      <c r="I645" s="208"/>
      <c r="J645" s="208"/>
      <c r="K645" s="208"/>
      <c r="L645" s="208"/>
      <c r="M645" s="208"/>
      <c r="N645" s="208"/>
      <c r="O645" s="208"/>
      <c r="P645" s="208"/>
      <c r="Q645" s="208"/>
      <c r="R645" s="208"/>
      <c r="S645" s="208"/>
      <c r="T645" s="208"/>
      <c r="U645" s="208"/>
      <c r="V645" s="208"/>
      <c r="W645" s="208"/>
      <c r="X645" s="208"/>
      <c r="Y645" s="208"/>
      <c r="Z645" s="208"/>
    </row>
    <row r="646" ht="12.0" customHeight="1">
      <c r="A646" s="208"/>
      <c r="B646" s="208"/>
      <c r="C646" s="208"/>
      <c r="D646" s="208"/>
      <c r="E646" s="208"/>
      <c r="F646" s="208"/>
      <c r="G646" s="208"/>
      <c r="H646" s="208"/>
      <c r="I646" s="208"/>
      <c r="J646" s="208"/>
      <c r="K646" s="208"/>
      <c r="L646" s="208"/>
      <c r="M646" s="208"/>
      <c r="N646" s="208"/>
      <c r="O646" s="208"/>
      <c r="P646" s="208"/>
      <c r="Q646" s="208"/>
      <c r="R646" s="208"/>
      <c r="S646" s="208"/>
      <c r="T646" s="208"/>
      <c r="U646" s="208"/>
      <c r="V646" s="208"/>
      <c r="W646" s="208"/>
      <c r="X646" s="208"/>
      <c r="Y646" s="208"/>
      <c r="Z646" s="208"/>
    </row>
    <row r="647" ht="12.0" customHeight="1">
      <c r="A647" s="208"/>
      <c r="B647" s="208"/>
      <c r="C647" s="208"/>
      <c r="D647" s="208"/>
      <c r="E647" s="208"/>
      <c r="F647" s="208"/>
      <c r="G647" s="208"/>
      <c r="H647" s="208"/>
      <c r="I647" s="208"/>
      <c r="J647" s="208"/>
      <c r="K647" s="208"/>
      <c r="L647" s="208"/>
      <c r="M647" s="208"/>
      <c r="N647" s="208"/>
      <c r="O647" s="208"/>
      <c r="P647" s="208"/>
      <c r="Q647" s="208"/>
      <c r="R647" s="208"/>
      <c r="S647" s="208"/>
      <c r="T647" s="208"/>
      <c r="U647" s="208"/>
      <c r="V647" s="208"/>
      <c r="W647" s="208"/>
      <c r="X647" s="208"/>
      <c r="Y647" s="208"/>
      <c r="Z647" s="208"/>
    </row>
    <row r="648" ht="12.0" customHeight="1">
      <c r="A648" s="208"/>
      <c r="B648" s="208"/>
      <c r="C648" s="208"/>
      <c r="D648" s="208"/>
      <c r="E648" s="208"/>
      <c r="F648" s="208"/>
      <c r="G648" s="208"/>
      <c r="H648" s="208"/>
      <c r="I648" s="208"/>
      <c r="J648" s="208"/>
      <c r="K648" s="208"/>
      <c r="L648" s="208"/>
      <c r="M648" s="208"/>
      <c r="N648" s="208"/>
      <c r="O648" s="208"/>
      <c r="P648" s="208"/>
      <c r="Q648" s="208"/>
      <c r="R648" s="208"/>
      <c r="S648" s="208"/>
      <c r="T648" s="208"/>
      <c r="U648" s="208"/>
      <c r="V648" s="208"/>
      <c r="W648" s="208"/>
      <c r="X648" s="208"/>
      <c r="Y648" s="208"/>
      <c r="Z648" s="208"/>
    </row>
    <row r="649" ht="12.0" customHeight="1">
      <c r="A649" s="208"/>
      <c r="B649" s="208"/>
      <c r="C649" s="208"/>
      <c r="D649" s="208"/>
      <c r="E649" s="208"/>
      <c r="F649" s="208"/>
      <c r="G649" s="208"/>
      <c r="H649" s="208"/>
      <c r="I649" s="208"/>
      <c r="J649" s="208"/>
      <c r="K649" s="208"/>
      <c r="L649" s="208"/>
      <c r="M649" s="208"/>
      <c r="N649" s="208"/>
      <c r="O649" s="208"/>
      <c r="P649" s="208"/>
      <c r="Q649" s="208"/>
      <c r="R649" s="208"/>
      <c r="S649" s="208"/>
      <c r="T649" s="208"/>
      <c r="U649" s="208"/>
      <c r="V649" s="208"/>
      <c r="W649" s="208"/>
      <c r="X649" s="208"/>
      <c r="Y649" s="208"/>
      <c r="Z649" s="208"/>
    </row>
    <row r="650" ht="12.0" customHeight="1">
      <c r="A650" s="208"/>
      <c r="B650" s="208"/>
      <c r="C650" s="208"/>
      <c r="D650" s="208"/>
      <c r="E650" s="208"/>
      <c r="F650" s="208"/>
      <c r="G650" s="208"/>
      <c r="H650" s="208"/>
      <c r="I650" s="208"/>
      <c r="J650" s="208"/>
      <c r="K650" s="208"/>
      <c r="L650" s="208"/>
      <c r="M650" s="208"/>
      <c r="N650" s="208"/>
      <c r="O650" s="208"/>
      <c r="P650" s="208"/>
      <c r="Q650" s="208"/>
      <c r="R650" s="208"/>
      <c r="S650" s="208"/>
      <c r="T650" s="208"/>
      <c r="U650" s="208"/>
      <c r="V650" s="208"/>
      <c r="W650" s="208"/>
      <c r="X650" s="208"/>
      <c r="Y650" s="208"/>
      <c r="Z650" s="208"/>
    </row>
    <row r="651" ht="12.0" customHeight="1">
      <c r="A651" s="208"/>
      <c r="B651" s="208"/>
      <c r="C651" s="208"/>
      <c r="D651" s="208"/>
      <c r="E651" s="208"/>
      <c r="F651" s="208"/>
      <c r="G651" s="208"/>
      <c r="H651" s="208"/>
      <c r="I651" s="208"/>
      <c r="J651" s="208"/>
      <c r="K651" s="208"/>
      <c r="L651" s="208"/>
      <c r="M651" s="208"/>
      <c r="N651" s="208"/>
      <c r="O651" s="208"/>
      <c r="P651" s="208"/>
      <c r="Q651" s="208"/>
      <c r="R651" s="208"/>
      <c r="S651" s="208"/>
      <c r="T651" s="208"/>
      <c r="U651" s="208"/>
      <c r="V651" s="208"/>
      <c r="W651" s="208"/>
      <c r="X651" s="208"/>
      <c r="Y651" s="208"/>
      <c r="Z651" s="208"/>
    </row>
    <row r="652" ht="12.0" customHeight="1">
      <c r="A652" s="208"/>
      <c r="B652" s="208"/>
      <c r="C652" s="208"/>
      <c r="D652" s="208"/>
      <c r="E652" s="208"/>
      <c r="F652" s="208"/>
      <c r="G652" s="208"/>
      <c r="H652" s="208"/>
      <c r="I652" s="208"/>
      <c r="J652" s="208"/>
      <c r="K652" s="208"/>
      <c r="L652" s="208"/>
      <c r="M652" s="208"/>
      <c r="N652" s="208"/>
      <c r="O652" s="208"/>
      <c r="P652" s="208"/>
      <c r="Q652" s="208"/>
      <c r="R652" s="208"/>
      <c r="S652" s="208"/>
      <c r="T652" s="208"/>
      <c r="U652" s="208"/>
      <c r="V652" s="208"/>
      <c r="W652" s="208"/>
      <c r="X652" s="208"/>
      <c r="Y652" s="208"/>
      <c r="Z652" s="208"/>
    </row>
    <row r="653" ht="12.0" customHeight="1">
      <c r="A653" s="208"/>
      <c r="B653" s="208"/>
      <c r="C653" s="208"/>
      <c r="D653" s="208"/>
      <c r="E653" s="208"/>
      <c r="F653" s="208"/>
      <c r="G653" s="208"/>
      <c r="H653" s="208"/>
      <c r="I653" s="208"/>
      <c r="J653" s="208"/>
      <c r="K653" s="208"/>
      <c r="L653" s="208"/>
      <c r="M653" s="208"/>
      <c r="N653" s="208"/>
      <c r="O653" s="208"/>
      <c r="P653" s="208"/>
      <c r="Q653" s="208"/>
      <c r="R653" s="208"/>
      <c r="S653" s="208"/>
      <c r="T653" s="208"/>
      <c r="U653" s="208"/>
      <c r="V653" s="208"/>
      <c r="W653" s="208"/>
      <c r="X653" s="208"/>
      <c r="Y653" s="208"/>
      <c r="Z653" s="208"/>
    </row>
    <row r="654" ht="12.0" customHeight="1">
      <c r="A654" s="208"/>
      <c r="B654" s="208"/>
      <c r="C654" s="208"/>
      <c r="D654" s="208"/>
      <c r="E654" s="208"/>
      <c r="F654" s="208"/>
      <c r="G654" s="208"/>
      <c r="H654" s="208"/>
      <c r="I654" s="208"/>
      <c r="J654" s="208"/>
      <c r="K654" s="208"/>
      <c r="L654" s="208"/>
      <c r="M654" s="208"/>
      <c r="N654" s="208"/>
      <c r="O654" s="208"/>
      <c r="P654" s="208"/>
      <c r="Q654" s="208"/>
      <c r="R654" s="208"/>
      <c r="S654" s="208"/>
      <c r="T654" s="208"/>
      <c r="U654" s="208"/>
      <c r="V654" s="208"/>
      <c r="W654" s="208"/>
      <c r="X654" s="208"/>
      <c r="Y654" s="208"/>
      <c r="Z654" s="208"/>
    </row>
    <row r="655" ht="12.0" customHeight="1">
      <c r="A655" s="208"/>
      <c r="B655" s="208"/>
      <c r="C655" s="208"/>
      <c r="D655" s="208"/>
      <c r="E655" s="208"/>
      <c r="F655" s="208"/>
      <c r="G655" s="208"/>
      <c r="H655" s="208"/>
      <c r="I655" s="208"/>
      <c r="J655" s="208"/>
      <c r="K655" s="208"/>
      <c r="L655" s="208"/>
      <c r="M655" s="208"/>
      <c r="N655" s="208"/>
      <c r="O655" s="208"/>
      <c r="P655" s="208"/>
      <c r="Q655" s="208"/>
      <c r="R655" s="208"/>
      <c r="S655" s="208"/>
      <c r="T655" s="208"/>
      <c r="U655" s="208"/>
      <c r="V655" s="208"/>
      <c r="W655" s="208"/>
      <c r="X655" s="208"/>
      <c r="Y655" s="208"/>
      <c r="Z655" s="208"/>
    </row>
    <row r="656" ht="12.0" customHeight="1">
      <c r="A656" s="208"/>
      <c r="B656" s="208"/>
      <c r="C656" s="208"/>
      <c r="D656" s="208"/>
      <c r="E656" s="208"/>
      <c r="F656" s="208"/>
      <c r="G656" s="208"/>
      <c r="H656" s="208"/>
      <c r="I656" s="208"/>
      <c r="J656" s="208"/>
      <c r="K656" s="208"/>
      <c r="L656" s="208"/>
      <c r="M656" s="208"/>
      <c r="N656" s="208"/>
      <c r="O656" s="208"/>
      <c r="P656" s="208"/>
      <c r="Q656" s="208"/>
      <c r="R656" s="208"/>
      <c r="S656" s="208"/>
      <c r="T656" s="208"/>
      <c r="U656" s="208"/>
      <c r="V656" s="208"/>
      <c r="W656" s="208"/>
      <c r="X656" s="208"/>
      <c r="Y656" s="208"/>
      <c r="Z656" s="208"/>
    </row>
    <row r="657" ht="12.0" customHeight="1">
      <c r="A657" s="208"/>
      <c r="B657" s="208"/>
      <c r="C657" s="208"/>
      <c r="D657" s="208"/>
      <c r="E657" s="208"/>
      <c r="F657" s="208"/>
      <c r="G657" s="208"/>
      <c r="H657" s="208"/>
      <c r="I657" s="208"/>
      <c r="J657" s="208"/>
      <c r="K657" s="208"/>
      <c r="L657" s="208"/>
      <c r="M657" s="208"/>
      <c r="N657" s="208"/>
      <c r="O657" s="208"/>
      <c r="P657" s="208"/>
      <c r="Q657" s="208"/>
      <c r="R657" s="208"/>
      <c r="S657" s="208"/>
      <c r="T657" s="208"/>
      <c r="U657" s="208"/>
      <c r="V657" s="208"/>
      <c r="W657" s="208"/>
      <c r="X657" s="208"/>
      <c r="Y657" s="208"/>
      <c r="Z657" s="208"/>
    </row>
    <row r="658" ht="12.0" customHeight="1">
      <c r="A658" s="208"/>
      <c r="B658" s="208"/>
      <c r="C658" s="208"/>
      <c r="D658" s="208"/>
      <c r="E658" s="208"/>
      <c r="F658" s="208"/>
      <c r="G658" s="208"/>
      <c r="H658" s="208"/>
      <c r="I658" s="208"/>
      <c r="J658" s="208"/>
      <c r="K658" s="208"/>
      <c r="L658" s="208"/>
      <c r="M658" s="208"/>
      <c r="N658" s="208"/>
      <c r="O658" s="208"/>
      <c r="P658" s="208"/>
      <c r="Q658" s="208"/>
      <c r="R658" s="208"/>
      <c r="S658" s="208"/>
      <c r="T658" s="208"/>
      <c r="U658" s="208"/>
      <c r="V658" s="208"/>
      <c r="W658" s="208"/>
      <c r="X658" s="208"/>
      <c r="Y658" s="208"/>
      <c r="Z658" s="208"/>
    </row>
    <row r="659" ht="12.0" customHeight="1">
      <c r="A659" s="208"/>
      <c r="B659" s="208"/>
      <c r="C659" s="208"/>
      <c r="D659" s="208"/>
      <c r="E659" s="208"/>
      <c r="F659" s="208"/>
      <c r="G659" s="208"/>
      <c r="H659" s="208"/>
      <c r="I659" s="208"/>
      <c r="J659" s="208"/>
      <c r="K659" s="208"/>
      <c r="L659" s="208"/>
      <c r="M659" s="208"/>
      <c r="N659" s="208"/>
      <c r="O659" s="208"/>
      <c r="P659" s="208"/>
      <c r="Q659" s="208"/>
      <c r="R659" s="208"/>
      <c r="S659" s="208"/>
      <c r="T659" s="208"/>
      <c r="U659" s="208"/>
      <c r="V659" s="208"/>
      <c r="W659" s="208"/>
      <c r="X659" s="208"/>
      <c r="Y659" s="208"/>
      <c r="Z659" s="208"/>
    </row>
    <row r="660" ht="12.0" customHeight="1">
      <c r="A660" s="208"/>
      <c r="B660" s="208"/>
      <c r="C660" s="208"/>
      <c r="D660" s="208"/>
      <c r="E660" s="208"/>
      <c r="F660" s="208"/>
      <c r="G660" s="208"/>
      <c r="H660" s="208"/>
      <c r="I660" s="208"/>
      <c r="J660" s="208"/>
      <c r="K660" s="208"/>
      <c r="L660" s="208"/>
      <c r="M660" s="208"/>
      <c r="N660" s="208"/>
      <c r="O660" s="208"/>
      <c r="P660" s="208"/>
      <c r="Q660" s="208"/>
      <c r="R660" s="208"/>
      <c r="S660" s="208"/>
      <c r="T660" s="208"/>
      <c r="U660" s="208"/>
      <c r="V660" s="208"/>
      <c r="W660" s="208"/>
      <c r="X660" s="208"/>
      <c r="Y660" s="208"/>
      <c r="Z660" s="208"/>
    </row>
    <row r="661" ht="12.0" customHeight="1">
      <c r="A661" s="208"/>
      <c r="B661" s="208"/>
      <c r="C661" s="208"/>
      <c r="D661" s="208"/>
      <c r="E661" s="208"/>
      <c r="F661" s="208"/>
      <c r="G661" s="208"/>
      <c r="H661" s="208"/>
      <c r="I661" s="208"/>
      <c r="J661" s="208"/>
      <c r="K661" s="208"/>
      <c r="L661" s="208"/>
      <c r="M661" s="208"/>
      <c r="N661" s="208"/>
      <c r="O661" s="208"/>
      <c r="P661" s="208"/>
      <c r="Q661" s="208"/>
      <c r="R661" s="208"/>
      <c r="S661" s="208"/>
      <c r="T661" s="208"/>
      <c r="U661" s="208"/>
      <c r="V661" s="208"/>
      <c r="W661" s="208"/>
      <c r="X661" s="208"/>
      <c r="Y661" s="208"/>
      <c r="Z661" s="208"/>
    </row>
    <row r="662" ht="12.0" customHeight="1">
      <c r="A662" s="208"/>
      <c r="B662" s="208"/>
      <c r="C662" s="208"/>
      <c r="D662" s="208"/>
      <c r="E662" s="208"/>
      <c r="F662" s="208"/>
      <c r="G662" s="208"/>
      <c r="H662" s="208"/>
      <c r="I662" s="208"/>
      <c r="J662" s="208"/>
      <c r="K662" s="208"/>
      <c r="L662" s="208"/>
      <c r="M662" s="208"/>
      <c r="N662" s="208"/>
      <c r="O662" s="208"/>
      <c r="P662" s="208"/>
      <c r="Q662" s="208"/>
      <c r="R662" s="208"/>
      <c r="S662" s="208"/>
      <c r="T662" s="208"/>
      <c r="U662" s="208"/>
      <c r="V662" s="208"/>
      <c r="W662" s="208"/>
      <c r="X662" s="208"/>
      <c r="Y662" s="208"/>
      <c r="Z662" s="208"/>
    </row>
    <row r="663" ht="12.0" customHeight="1">
      <c r="A663" s="208"/>
      <c r="B663" s="208"/>
      <c r="C663" s="208"/>
      <c r="D663" s="208"/>
      <c r="E663" s="208"/>
      <c r="F663" s="208"/>
      <c r="G663" s="208"/>
      <c r="H663" s="208"/>
      <c r="I663" s="208"/>
      <c r="J663" s="208"/>
      <c r="K663" s="208"/>
      <c r="L663" s="208"/>
      <c r="M663" s="208"/>
      <c r="N663" s="208"/>
      <c r="O663" s="208"/>
      <c r="P663" s="208"/>
      <c r="Q663" s="208"/>
      <c r="R663" s="208"/>
      <c r="S663" s="208"/>
      <c r="T663" s="208"/>
      <c r="U663" s="208"/>
      <c r="V663" s="208"/>
      <c r="W663" s="208"/>
      <c r="X663" s="208"/>
      <c r="Y663" s="208"/>
      <c r="Z663" s="208"/>
    </row>
    <row r="664" ht="12.0" customHeight="1">
      <c r="A664" s="208"/>
      <c r="B664" s="208"/>
      <c r="C664" s="208"/>
      <c r="D664" s="208"/>
      <c r="E664" s="208"/>
      <c r="F664" s="208"/>
      <c r="G664" s="208"/>
      <c r="H664" s="208"/>
      <c r="I664" s="208"/>
      <c r="J664" s="208"/>
      <c r="K664" s="208"/>
      <c r="L664" s="208"/>
      <c r="M664" s="208"/>
      <c r="N664" s="208"/>
      <c r="O664" s="208"/>
      <c r="P664" s="208"/>
      <c r="Q664" s="208"/>
      <c r="R664" s="208"/>
      <c r="S664" s="208"/>
      <c r="T664" s="208"/>
      <c r="U664" s="208"/>
      <c r="V664" s="208"/>
      <c r="W664" s="208"/>
      <c r="X664" s="208"/>
      <c r="Y664" s="208"/>
      <c r="Z664" s="208"/>
    </row>
    <row r="665" ht="12.0" customHeight="1">
      <c r="A665" s="208"/>
      <c r="B665" s="208"/>
      <c r="C665" s="208"/>
      <c r="D665" s="208"/>
      <c r="E665" s="208"/>
      <c r="F665" s="208"/>
      <c r="G665" s="208"/>
      <c r="H665" s="208"/>
      <c r="I665" s="208"/>
      <c r="J665" s="208"/>
      <c r="K665" s="208"/>
      <c r="L665" s="208"/>
      <c r="M665" s="208"/>
      <c r="N665" s="208"/>
      <c r="O665" s="208"/>
      <c r="P665" s="208"/>
      <c r="Q665" s="208"/>
      <c r="R665" s="208"/>
      <c r="S665" s="208"/>
      <c r="T665" s="208"/>
      <c r="U665" s="208"/>
      <c r="V665" s="208"/>
      <c r="W665" s="208"/>
      <c r="X665" s="208"/>
      <c r="Y665" s="208"/>
      <c r="Z665" s="208"/>
    </row>
    <row r="666" ht="12.0" customHeight="1">
      <c r="A666" s="208"/>
      <c r="B666" s="208"/>
      <c r="C666" s="208"/>
      <c r="D666" s="208"/>
      <c r="E666" s="208"/>
      <c r="F666" s="208"/>
      <c r="G666" s="208"/>
      <c r="H666" s="208"/>
      <c r="I666" s="208"/>
      <c r="J666" s="208"/>
      <c r="K666" s="208"/>
      <c r="L666" s="208"/>
      <c r="M666" s="208"/>
      <c r="N666" s="208"/>
      <c r="O666" s="208"/>
      <c r="P666" s="208"/>
      <c r="Q666" s="208"/>
      <c r="R666" s="208"/>
      <c r="S666" s="208"/>
      <c r="T666" s="208"/>
      <c r="U666" s="208"/>
      <c r="V666" s="208"/>
      <c r="W666" s="208"/>
      <c r="X666" s="208"/>
      <c r="Y666" s="208"/>
      <c r="Z666" s="208"/>
    </row>
    <row r="667" ht="12.0" customHeight="1">
      <c r="A667" s="208"/>
      <c r="B667" s="208"/>
      <c r="C667" s="208"/>
      <c r="D667" s="208"/>
      <c r="E667" s="208"/>
      <c r="F667" s="208"/>
      <c r="G667" s="208"/>
      <c r="H667" s="208"/>
      <c r="I667" s="208"/>
      <c r="J667" s="208"/>
      <c r="K667" s="208"/>
      <c r="L667" s="208"/>
      <c r="M667" s="208"/>
      <c r="N667" s="208"/>
      <c r="O667" s="208"/>
      <c r="P667" s="208"/>
      <c r="Q667" s="208"/>
      <c r="R667" s="208"/>
      <c r="S667" s="208"/>
      <c r="T667" s="208"/>
      <c r="U667" s="208"/>
      <c r="V667" s="208"/>
      <c r="W667" s="208"/>
      <c r="X667" s="208"/>
      <c r="Y667" s="208"/>
      <c r="Z667" s="208"/>
    </row>
    <row r="668" ht="12.0" customHeight="1">
      <c r="A668" s="208"/>
      <c r="B668" s="208"/>
      <c r="C668" s="208"/>
      <c r="D668" s="208"/>
      <c r="E668" s="208"/>
      <c r="F668" s="208"/>
      <c r="G668" s="208"/>
      <c r="H668" s="208"/>
      <c r="I668" s="208"/>
      <c r="J668" s="208"/>
      <c r="K668" s="208"/>
      <c r="L668" s="208"/>
      <c r="M668" s="208"/>
      <c r="N668" s="208"/>
      <c r="O668" s="208"/>
      <c r="P668" s="208"/>
      <c r="Q668" s="208"/>
      <c r="R668" s="208"/>
      <c r="S668" s="208"/>
      <c r="T668" s="208"/>
      <c r="U668" s="208"/>
      <c r="V668" s="208"/>
      <c r="W668" s="208"/>
      <c r="X668" s="208"/>
      <c r="Y668" s="208"/>
      <c r="Z668" s="208"/>
    </row>
    <row r="669" ht="12.0" customHeight="1">
      <c r="A669" s="208"/>
      <c r="B669" s="208"/>
      <c r="C669" s="208"/>
      <c r="D669" s="208"/>
      <c r="E669" s="208"/>
      <c r="F669" s="208"/>
      <c r="G669" s="208"/>
      <c r="H669" s="208"/>
      <c r="I669" s="208"/>
      <c r="J669" s="208"/>
      <c r="K669" s="208"/>
      <c r="L669" s="208"/>
      <c r="M669" s="208"/>
      <c r="N669" s="208"/>
      <c r="O669" s="208"/>
      <c r="P669" s="208"/>
      <c r="Q669" s="208"/>
      <c r="R669" s="208"/>
      <c r="S669" s="208"/>
      <c r="T669" s="208"/>
      <c r="U669" s="208"/>
      <c r="V669" s="208"/>
      <c r="W669" s="208"/>
      <c r="X669" s="208"/>
      <c r="Y669" s="208"/>
      <c r="Z669" s="208"/>
    </row>
    <row r="670" ht="12.0" customHeight="1">
      <c r="A670" s="208"/>
      <c r="B670" s="208"/>
      <c r="C670" s="208"/>
      <c r="D670" s="208"/>
      <c r="E670" s="208"/>
      <c r="F670" s="208"/>
      <c r="G670" s="208"/>
      <c r="H670" s="208"/>
      <c r="I670" s="208"/>
      <c r="J670" s="208"/>
      <c r="K670" s="208"/>
      <c r="L670" s="208"/>
      <c r="M670" s="208"/>
      <c r="N670" s="208"/>
      <c r="O670" s="208"/>
      <c r="P670" s="208"/>
      <c r="Q670" s="208"/>
      <c r="R670" s="208"/>
      <c r="S670" s="208"/>
      <c r="T670" s="208"/>
      <c r="U670" s="208"/>
      <c r="V670" s="208"/>
      <c r="W670" s="208"/>
      <c r="X670" s="208"/>
      <c r="Y670" s="208"/>
      <c r="Z670" s="208"/>
    </row>
    <row r="671" ht="12.0" customHeight="1">
      <c r="A671" s="208"/>
      <c r="B671" s="208"/>
      <c r="C671" s="208"/>
      <c r="D671" s="208"/>
      <c r="E671" s="208"/>
      <c r="F671" s="208"/>
      <c r="G671" s="208"/>
      <c r="H671" s="208"/>
      <c r="I671" s="208"/>
      <c r="J671" s="208"/>
      <c r="K671" s="208"/>
      <c r="L671" s="208"/>
      <c r="M671" s="208"/>
      <c r="N671" s="208"/>
      <c r="O671" s="208"/>
      <c r="P671" s="208"/>
      <c r="Q671" s="208"/>
      <c r="R671" s="208"/>
      <c r="S671" s="208"/>
      <c r="T671" s="208"/>
      <c r="U671" s="208"/>
      <c r="V671" s="208"/>
      <c r="W671" s="208"/>
      <c r="X671" s="208"/>
      <c r="Y671" s="208"/>
      <c r="Z671" s="208"/>
    </row>
    <row r="672" ht="12.0" customHeight="1">
      <c r="A672" s="208"/>
      <c r="B672" s="208"/>
      <c r="C672" s="208"/>
      <c r="D672" s="208"/>
      <c r="E672" s="208"/>
      <c r="F672" s="208"/>
      <c r="G672" s="208"/>
      <c r="H672" s="208"/>
      <c r="I672" s="208"/>
      <c r="J672" s="208"/>
      <c r="K672" s="208"/>
      <c r="L672" s="208"/>
      <c r="M672" s="208"/>
      <c r="N672" s="208"/>
      <c r="O672" s="208"/>
      <c r="P672" s="208"/>
      <c r="Q672" s="208"/>
      <c r="R672" s="208"/>
      <c r="S672" s="208"/>
      <c r="T672" s="208"/>
      <c r="U672" s="208"/>
      <c r="V672" s="208"/>
      <c r="W672" s="208"/>
      <c r="X672" s="208"/>
      <c r="Y672" s="208"/>
      <c r="Z672" s="208"/>
    </row>
    <row r="673" ht="12.0" customHeight="1">
      <c r="A673" s="208"/>
      <c r="B673" s="208"/>
      <c r="C673" s="208"/>
      <c r="D673" s="208"/>
      <c r="E673" s="208"/>
      <c r="F673" s="208"/>
      <c r="G673" s="208"/>
      <c r="H673" s="208"/>
      <c r="I673" s="208"/>
      <c r="J673" s="208"/>
      <c r="K673" s="208"/>
      <c r="L673" s="208"/>
      <c r="M673" s="208"/>
      <c r="N673" s="208"/>
      <c r="O673" s="208"/>
      <c r="P673" s="208"/>
      <c r="Q673" s="208"/>
      <c r="R673" s="208"/>
      <c r="S673" s="208"/>
      <c r="T673" s="208"/>
      <c r="U673" s="208"/>
      <c r="V673" s="208"/>
      <c r="W673" s="208"/>
      <c r="X673" s="208"/>
      <c r="Y673" s="208"/>
      <c r="Z673" s="208"/>
    </row>
    <row r="674" ht="12.0" customHeight="1">
      <c r="A674" s="208"/>
      <c r="B674" s="208"/>
      <c r="C674" s="208"/>
      <c r="D674" s="208"/>
      <c r="E674" s="208"/>
      <c r="F674" s="208"/>
      <c r="G674" s="208"/>
      <c r="H674" s="208"/>
      <c r="I674" s="208"/>
      <c r="J674" s="208"/>
      <c r="K674" s="208"/>
      <c r="L674" s="208"/>
      <c r="M674" s="208"/>
      <c r="N674" s="208"/>
      <c r="O674" s="208"/>
      <c r="P674" s="208"/>
      <c r="Q674" s="208"/>
      <c r="R674" s="208"/>
      <c r="S674" s="208"/>
      <c r="T674" s="208"/>
      <c r="U674" s="208"/>
      <c r="V674" s="208"/>
      <c r="W674" s="208"/>
      <c r="X674" s="208"/>
      <c r="Y674" s="208"/>
      <c r="Z674" s="208"/>
    </row>
    <row r="675" ht="12.0" customHeight="1">
      <c r="A675" s="208"/>
      <c r="B675" s="208"/>
      <c r="C675" s="208"/>
      <c r="D675" s="208"/>
      <c r="E675" s="208"/>
      <c r="F675" s="208"/>
      <c r="G675" s="208"/>
      <c r="H675" s="208"/>
      <c r="I675" s="208"/>
      <c r="J675" s="208"/>
      <c r="K675" s="208"/>
      <c r="L675" s="208"/>
      <c r="M675" s="208"/>
      <c r="N675" s="208"/>
      <c r="O675" s="208"/>
      <c r="P675" s="208"/>
      <c r="Q675" s="208"/>
      <c r="R675" s="208"/>
      <c r="S675" s="208"/>
      <c r="T675" s="208"/>
      <c r="U675" s="208"/>
      <c r="V675" s="208"/>
      <c r="W675" s="208"/>
      <c r="X675" s="208"/>
      <c r="Y675" s="208"/>
      <c r="Z675" s="208"/>
    </row>
    <row r="676" ht="12.0" customHeight="1">
      <c r="A676" s="208"/>
      <c r="B676" s="208"/>
      <c r="C676" s="208"/>
      <c r="D676" s="208"/>
      <c r="E676" s="208"/>
      <c r="F676" s="208"/>
      <c r="G676" s="208"/>
      <c r="H676" s="208"/>
      <c r="I676" s="208"/>
      <c r="J676" s="208"/>
      <c r="K676" s="208"/>
      <c r="L676" s="208"/>
      <c r="M676" s="208"/>
      <c r="N676" s="208"/>
      <c r="O676" s="208"/>
      <c r="P676" s="208"/>
      <c r="Q676" s="208"/>
      <c r="R676" s="208"/>
      <c r="S676" s="208"/>
      <c r="T676" s="208"/>
      <c r="U676" s="208"/>
      <c r="V676" s="208"/>
      <c r="W676" s="208"/>
      <c r="X676" s="208"/>
      <c r="Y676" s="208"/>
      <c r="Z676" s="208"/>
    </row>
    <row r="677" ht="12.0" customHeight="1">
      <c r="A677" s="208"/>
      <c r="B677" s="208"/>
      <c r="C677" s="208"/>
      <c r="D677" s="208"/>
      <c r="E677" s="208"/>
      <c r="F677" s="208"/>
      <c r="G677" s="208"/>
      <c r="H677" s="208"/>
      <c r="I677" s="208"/>
      <c r="J677" s="208"/>
      <c r="K677" s="208"/>
      <c r="L677" s="208"/>
      <c r="M677" s="208"/>
      <c r="N677" s="208"/>
      <c r="O677" s="208"/>
      <c r="P677" s="208"/>
      <c r="Q677" s="208"/>
      <c r="R677" s="208"/>
      <c r="S677" s="208"/>
      <c r="T677" s="208"/>
      <c r="U677" s="208"/>
      <c r="V677" s="208"/>
      <c r="W677" s="208"/>
      <c r="X677" s="208"/>
      <c r="Y677" s="208"/>
      <c r="Z677" s="208"/>
    </row>
    <row r="678" ht="12.0" customHeight="1">
      <c r="A678" s="208"/>
      <c r="B678" s="208"/>
      <c r="C678" s="208"/>
      <c r="D678" s="208"/>
      <c r="E678" s="208"/>
      <c r="F678" s="208"/>
      <c r="G678" s="208"/>
      <c r="H678" s="208"/>
      <c r="I678" s="208"/>
      <c r="J678" s="208"/>
      <c r="K678" s="208"/>
      <c r="L678" s="208"/>
      <c r="M678" s="208"/>
      <c r="N678" s="208"/>
      <c r="O678" s="208"/>
      <c r="P678" s="208"/>
      <c r="Q678" s="208"/>
      <c r="R678" s="208"/>
      <c r="S678" s="208"/>
      <c r="T678" s="208"/>
      <c r="U678" s="208"/>
      <c r="V678" s="208"/>
      <c r="W678" s="208"/>
      <c r="X678" s="208"/>
      <c r="Y678" s="208"/>
      <c r="Z678" s="208"/>
    </row>
    <row r="679" ht="12.0" customHeight="1">
      <c r="A679" s="208"/>
      <c r="B679" s="208"/>
      <c r="C679" s="208"/>
      <c r="D679" s="208"/>
      <c r="E679" s="208"/>
      <c r="F679" s="208"/>
      <c r="G679" s="208"/>
      <c r="H679" s="208"/>
      <c r="I679" s="208"/>
      <c r="J679" s="208"/>
      <c r="K679" s="208"/>
      <c r="L679" s="208"/>
      <c r="M679" s="208"/>
      <c r="N679" s="208"/>
      <c r="O679" s="208"/>
      <c r="P679" s="208"/>
      <c r="Q679" s="208"/>
      <c r="R679" s="208"/>
      <c r="S679" s="208"/>
      <c r="T679" s="208"/>
      <c r="U679" s="208"/>
      <c r="V679" s="208"/>
      <c r="W679" s="208"/>
      <c r="X679" s="208"/>
      <c r="Y679" s="208"/>
      <c r="Z679" s="208"/>
    </row>
    <row r="680" ht="12.0" customHeight="1">
      <c r="A680" s="208"/>
      <c r="B680" s="208"/>
      <c r="C680" s="208"/>
      <c r="D680" s="208"/>
      <c r="E680" s="208"/>
      <c r="F680" s="208"/>
      <c r="G680" s="208"/>
      <c r="H680" s="208"/>
      <c r="I680" s="208"/>
      <c r="J680" s="208"/>
      <c r="K680" s="208"/>
      <c r="L680" s="208"/>
      <c r="M680" s="208"/>
      <c r="N680" s="208"/>
      <c r="O680" s="208"/>
      <c r="P680" s="208"/>
      <c r="Q680" s="208"/>
      <c r="R680" s="208"/>
      <c r="S680" s="208"/>
      <c r="T680" s="208"/>
      <c r="U680" s="208"/>
      <c r="V680" s="208"/>
      <c r="W680" s="208"/>
      <c r="X680" s="208"/>
      <c r="Y680" s="208"/>
      <c r="Z680" s="208"/>
    </row>
    <row r="681" ht="12.0" customHeight="1">
      <c r="A681" s="208"/>
      <c r="B681" s="208"/>
      <c r="C681" s="208"/>
      <c r="D681" s="208"/>
      <c r="E681" s="208"/>
      <c r="F681" s="208"/>
      <c r="G681" s="208"/>
      <c r="H681" s="208"/>
      <c r="I681" s="208"/>
      <c r="J681" s="208"/>
      <c r="K681" s="208"/>
      <c r="L681" s="208"/>
      <c r="M681" s="208"/>
      <c r="N681" s="208"/>
      <c r="O681" s="208"/>
      <c r="P681" s="208"/>
      <c r="Q681" s="208"/>
      <c r="R681" s="208"/>
      <c r="S681" s="208"/>
      <c r="T681" s="208"/>
      <c r="U681" s="208"/>
      <c r="V681" s="208"/>
      <c r="W681" s="208"/>
      <c r="X681" s="208"/>
      <c r="Y681" s="208"/>
      <c r="Z681" s="208"/>
    </row>
    <row r="682" ht="12.0" customHeight="1">
      <c r="A682" s="208"/>
      <c r="B682" s="208"/>
      <c r="C682" s="208"/>
      <c r="D682" s="208"/>
      <c r="E682" s="208"/>
      <c r="F682" s="208"/>
      <c r="G682" s="208"/>
      <c r="H682" s="208"/>
      <c r="I682" s="208"/>
      <c r="J682" s="208"/>
      <c r="K682" s="208"/>
      <c r="L682" s="208"/>
      <c r="M682" s="208"/>
      <c r="N682" s="208"/>
      <c r="O682" s="208"/>
      <c r="P682" s="208"/>
      <c r="Q682" s="208"/>
      <c r="R682" s="208"/>
      <c r="S682" s="208"/>
      <c r="T682" s="208"/>
      <c r="U682" s="208"/>
      <c r="V682" s="208"/>
      <c r="W682" s="208"/>
      <c r="X682" s="208"/>
      <c r="Y682" s="208"/>
      <c r="Z682" s="208"/>
    </row>
    <row r="683" ht="12.0" customHeight="1">
      <c r="A683" s="208"/>
      <c r="B683" s="208"/>
      <c r="C683" s="208"/>
      <c r="D683" s="208"/>
      <c r="E683" s="208"/>
      <c r="F683" s="208"/>
      <c r="G683" s="208"/>
      <c r="H683" s="208"/>
      <c r="I683" s="208"/>
      <c r="J683" s="208"/>
      <c r="K683" s="208"/>
      <c r="L683" s="208"/>
      <c r="M683" s="208"/>
      <c r="N683" s="208"/>
      <c r="O683" s="208"/>
      <c r="P683" s="208"/>
      <c r="Q683" s="208"/>
      <c r="R683" s="208"/>
      <c r="S683" s="208"/>
      <c r="T683" s="208"/>
      <c r="U683" s="208"/>
      <c r="V683" s="208"/>
      <c r="W683" s="208"/>
      <c r="X683" s="208"/>
      <c r="Y683" s="208"/>
      <c r="Z683" s="208"/>
    </row>
    <row r="684" ht="12.0" customHeight="1">
      <c r="A684" s="208"/>
      <c r="B684" s="208"/>
      <c r="C684" s="208"/>
      <c r="D684" s="208"/>
      <c r="E684" s="208"/>
      <c r="F684" s="208"/>
      <c r="G684" s="208"/>
      <c r="H684" s="208"/>
      <c r="I684" s="208"/>
      <c r="J684" s="208"/>
      <c r="K684" s="208"/>
      <c r="L684" s="208"/>
      <c r="M684" s="208"/>
      <c r="N684" s="208"/>
      <c r="O684" s="208"/>
      <c r="P684" s="208"/>
      <c r="Q684" s="208"/>
      <c r="R684" s="208"/>
      <c r="S684" s="208"/>
      <c r="T684" s="208"/>
      <c r="U684" s="208"/>
      <c r="V684" s="208"/>
      <c r="W684" s="208"/>
      <c r="X684" s="208"/>
      <c r="Y684" s="208"/>
      <c r="Z684" s="208"/>
    </row>
    <row r="685" ht="12.0" customHeight="1">
      <c r="A685" s="208"/>
      <c r="B685" s="208"/>
      <c r="C685" s="208"/>
      <c r="D685" s="208"/>
      <c r="E685" s="208"/>
      <c r="F685" s="208"/>
      <c r="G685" s="208"/>
      <c r="H685" s="208"/>
      <c r="I685" s="208"/>
      <c r="J685" s="208"/>
      <c r="K685" s="208"/>
      <c r="L685" s="208"/>
      <c r="M685" s="208"/>
      <c r="N685" s="208"/>
      <c r="O685" s="208"/>
      <c r="P685" s="208"/>
      <c r="Q685" s="208"/>
      <c r="R685" s="208"/>
      <c r="S685" s="208"/>
      <c r="T685" s="208"/>
      <c r="U685" s="208"/>
      <c r="V685" s="208"/>
      <c r="W685" s="208"/>
      <c r="X685" s="208"/>
      <c r="Y685" s="208"/>
      <c r="Z685" s="208"/>
    </row>
    <row r="686" ht="12.0" customHeight="1">
      <c r="A686" s="208"/>
      <c r="B686" s="208"/>
      <c r="C686" s="208"/>
      <c r="D686" s="208"/>
      <c r="E686" s="208"/>
      <c r="F686" s="208"/>
      <c r="G686" s="208"/>
      <c r="H686" s="208"/>
      <c r="I686" s="208"/>
      <c r="J686" s="208"/>
      <c r="K686" s="208"/>
      <c r="L686" s="208"/>
      <c r="M686" s="208"/>
      <c r="N686" s="208"/>
      <c r="O686" s="208"/>
      <c r="P686" s="208"/>
      <c r="Q686" s="208"/>
      <c r="R686" s="208"/>
      <c r="S686" s="208"/>
      <c r="T686" s="208"/>
      <c r="U686" s="208"/>
      <c r="V686" s="208"/>
      <c r="W686" s="208"/>
      <c r="X686" s="208"/>
      <c r="Y686" s="208"/>
      <c r="Z686" s="208"/>
    </row>
    <row r="687" ht="12.0" customHeight="1">
      <c r="A687" s="208"/>
      <c r="B687" s="208"/>
      <c r="C687" s="208"/>
      <c r="D687" s="208"/>
      <c r="E687" s="208"/>
      <c r="F687" s="208"/>
      <c r="G687" s="208"/>
      <c r="H687" s="208"/>
      <c r="I687" s="208"/>
      <c r="J687" s="208"/>
      <c r="K687" s="208"/>
      <c r="L687" s="208"/>
      <c r="M687" s="208"/>
      <c r="N687" s="208"/>
      <c r="O687" s="208"/>
      <c r="P687" s="208"/>
      <c r="Q687" s="208"/>
      <c r="R687" s="208"/>
      <c r="S687" s="208"/>
      <c r="T687" s="208"/>
      <c r="U687" s="208"/>
      <c r="V687" s="208"/>
      <c r="W687" s="208"/>
      <c r="X687" s="208"/>
      <c r="Y687" s="208"/>
      <c r="Z687" s="208"/>
    </row>
    <row r="688" ht="12.0" customHeight="1">
      <c r="A688" s="208"/>
      <c r="B688" s="208"/>
      <c r="C688" s="208"/>
      <c r="D688" s="208"/>
      <c r="E688" s="208"/>
      <c r="F688" s="208"/>
      <c r="G688" s="208"/>
      <c r="H688" s="208"/>
      <c r="I688" s="208"/>
      <c r="J688" s="208"/>
      <c r="K688" s="208"/>
      <c r="L688" s="208"/>
      <c r="M688" s="208"/>
      <c r="N688" s="208"/>
      <c r="O688" s="208"/>
      <c r="P688" s="208"/>
      <c r="Q688" s="208"/>
      <c r="R688" s="208"/>
      <c r="S688" s="208"/>
      <c r="T688" s="208"/>
      <c r="U688" s="208"/>
      <c r="V688" s="208"/>
      <c r="W688" s="208"/>
      <c r="X688" s="208"/>
      <c r="Y688" s="208"/>
      <c r="Z688" s="208"/>
    </row>
    <row r="689" ht="12.0" customHeight="1">
      <c r="A689" s="208"/>
      <c r="B689" s="208"/>
      <c r="C689" s="208"/>
      <c r="D689" s="208"/>
      <c r="E689" s="208"/>
      <c r="F689" s="208"/>
      <c r="G689" s="208"/>
      <c r="H689" s="208"/>
      <c r="I689" s="208"/>
      <c r="J689" s="208"/>
      <c r="K689" s="208"/>
      <c r="L689" s="208"/>
      <c r="M689" s="208"/>
      <c r="N689" s="208"/>
      <c r="O689" s="208"/>
      <c r="P689" s="208"/>
      <c r="Q689" s="208"/>
      <c r="R689" s="208"/>
      <c r="S689" s="208"/>
      <c r="T689" s="208"/>
      <c r="U689" s="208"/>
      <c r="V689" s="208"/>
      <c r="W689" s="208"/>
      <c r="X689" s="208"/>
      <c r="Y689" s="208"/>
      <c r="Z689" s="208"/>
    </row>
    <row r="690" ht="12.0" customHeight="1">
      <c r="A690" s="208"/>
      <c r="B690" s="208"/>
      <c r="C690" s="208"/>
      <c r="D690" s="208"/>
      <c r="E690" s="208"/>
      <c r="F690" s="208"/>
      <c r="G690" s="208"/>
      <c r="H690" s="208"/>
      <c r="I690" s="208"/>
      <c r="J690" s="208"/>
      <c r="K690" s="208"/>
      <c r="L690" s="208"/>
      <c r="M690" s="208"/>
      <c r="N690" s="208"/>
      <c r="O690" s="208"/>
      <c r="P690" s="208"/>
      <c r="Q690" s="208"/>
      <c r="R690" s="208"/>
      <c r="S690" s="208"/>
      <c r="T690" s="208"/>
      <c r="U690" s="208"/>
      <c r="V690" s="208"/>
      <c r="W690" s="208"/>
      <c r="X690" s="208"/>
      <c r="Y690" s="208"/>
      <c r="Z690" s="208"/>
    </row>
    <row r="691" ht="12.0" customHeight="1">
      <c r="A691" s="208"/>
      <c r="B691" s="208"/>
      <c r="C691" s="208"/>
      <c r="D691" s="208"/>
      <c r="E691" s="208"/>
      <c r="F691" s="208"/>
      <c r="G691" s="208"/>
      <c r="H691" s="208"/>
      <c r="I691" s="208"/>
      <c r="J691" s="208"/>
      <c r="K691" s="208"/>
      <c r="L691" s="208"/>
      <c r="M691" s="208"/>
      <c r="N691" s="208"/>
      <c r="O691" s="208"/>
      <c r="P691" s="208"/>
      <c r="Q691" s="208"/>
      <c r="R691" s="208"/>
      <c r="S691" s="208"/>
      <c r="T691" s="208"/>
      <c r="U691" s="208"/>
      <c r="V691" s="208"/>
      <c r="W691" s="208"/>
      <c r="X691" s="208"/>
      <c r="Y691" s="208"/>
      <c r="Z691" s="208"/>
    </row>
    <row r="692" ht="12.0" customHeight="1">
      <c r="A692" s="208"/>
      <c r="B692" s="208"/>
      <c r="C692" s="208"/>
      <c r="D692" s="208"/>
      <c r="E692" s="208"/>
      <c r="F692" s="208"/>
      <c r="G692" s="208"/>
      <c r="H692" s="208"/>
      <c r="I692" s="208"/>
      <c r="J692" s="208"/>
      <c r="K692" s="208"/>
      <c r="L692" s="208"/>
      <c r="M692" s="208"/>
      <c r="N692" s="208"/>
      <c r="O692" s="208"/>
      <c r="P692" s="208"/>
      <c r="Q692" s="208"/>
      <c r="R692" s="208"/>
      <c r="S692" s="208"/>
      <c r="T692" s="208"/>
      <c r="U692" s="208"/>
      <c r="V692" s="208"/>
      <c r="W692" s="208"/>
      <c r="X692" s="208"/>
      <c r="Y692" s="208"/>
      <c r="Z692" s="208"/>
    </row>
    <row r="693" ht="12.0" customHeight="1">
      <c r="A693" s="208"/>
      <c r="B693" s="208"/>
      <c r="C693" s="208"/>
      <c r="D693" s="208"/>
      <c r="E693" s="208"/>
      <c r="F693" s="208"/>
      <c r="G693" s="208"/>
      <c r="H693" s="208"/>
      <c r="I693" s="208"/>
      <c r="J693" s="208"/>
      <c r="K693" s="208"/>
      <c r="L693" s="208"/>
      <c r="M693" s="208"/>
      <c r="N693" s="208"/>
      <c r="O693" s="208"/>
      <c r="P693" s="208"/>
      <c r="Q693" s="208"/>
      <c r="R693" s="208"/>
      <c r="S693" s="208"/>
      <c r="T693" s="208"/>
      <c r="U693" s="208"/>
      <c r="V693" s="208"/>
      <c r="W693" s="208"/>
      <c r="X693" s="208"/>
      <c r="Y693" s="208"/>
      <c r="Z693" s="208"/>
    </row>
    <row r="694" ht="12.0" customHeight="1">
      <c r="A694" s="208"/>
      <c r="B694" s="208"/>
      <c r="C694" s="208"/>
      <c r="D694" s="208"/>
      <c r="E694" s="208"/>
      <c r="F694" s="208"/>
      <c r="G694" s="208"/>
      <c r="H694" s="208"/>
      <c r="I694" s="208"/>
      <c r="J694" s="208"/>
      <c r="K694" s="208"/>
      <c r="L694" s="208"/>
      <c r="M694" s="208"/>
      <c r="N694" s="208"/>
      <c r="O694" s="208"/>
      <c r="P694" s="208"/>
      <c r="Q694" s="208"/>
      <c r="R694" s="208"/>
      <c r="S694" s="208"/>
      <c r="T694" s="208"/>
      <c r="U694" s="208"/>
      <c r="V694" s="208"/>
      <c r="W694" s="208"/>
      <c r="X694" s="208"/>
      <c r="Y694" s="208"/>
      <c r="Z694" s="208"/>
    </row>
    <row r="695" ht="12.0" customHeight="1">
      <c r="A695" s="208"/>
      <c r="B695" s="208"/>
      <c r="C695" s="208"/>
      <c r="D695" s="208"/>
      <c r="E695" s="208"/>
      <c r="F695" s="208"/>
      <c r="G695" s="208"/>
      <c r="H695" s="208"/>
      <c r="I695" s="208"/>
      <c r="J695" s="208"/>
      <c r="K695" s="208"/>
      <c r="L695" s="208"/>
      <c r="M695" s="208"/>
      <c r="N695" s="208"/>
      <c r="O695" s="208"/>
      <c r="P695" s="208"/>
      <c r="Q695" s="208"/>
      <c r="R695" s="208"/>
      <c r="S695" s="208"/>
      <c r="T695" s="208"/>
      <c r="U695" s="208"/>
      <c r="V695" s="208"/>
      <c r="W695" s="208"/>
      <c r="X695" s="208"/>
      <c r="Y695" s="208"/>
      <c r="Z695" s="208"/>
    </row>
    <row r="696" ht="12.0" customHeight="1">
      <c r="A696" s="208"/>
      <c r="B696" s="208"/>
      <c r="C696" s="208"/>
      <c r="D696" s="208"/>
      <c r="E696" s="208"/>
      <c r="F696" s="208"/>
      <c r="G696" s="208"/>
      <c r="H696" s="208"/>
      <c r="I696" s="208"/>
      <c r="J696" s="208"/>
      <c r="K696" s="208"/>
      <c r="L696" s="208"/>
      <c r="M696" s="208"/>
      <c r="N696" s="208"/>
      <c r="O696" s="208"/>
      <c r="P696" s="208"/>
      <c r="Q696" s="208"/>
      <c r="R696" s="208"/>
      <c r="S696" s="208"/>
      <c r="T696" s="208"/>
      <c r="U696" s="208"/>
      <c r="V696" s="208"/>
      <c r="W696" s="208"/>
      <c r="X696" s="208"/>
      <c r="Y696" s="208"/>
      <c r="Z696" s="208"/>
    </row>
    <row r="697" ht="12.0" customHeight="1">
      <c r="A697" s="208"/>
      <c r="B697" s="208"/>
      <c r="C697" s="208"/>
      <c r="D697" s="208"/>
      <c r="E697" s="208"/>
      <c r="F697" s="208"/>
      <c r="G697" s="208"/>
      <c r="H697" s="208"/>
      <c r="I697" s="208"/>
      <c r="J697" s="208"/>
      <c r="K697" s="208"/>
      <c r="L697" s="208"/>
      <c r="M697" s="208"/>
      <c r="N697" s="208"/>
      <c r="O697" s="208"/>
      <c r="P697" s="208"/>
      <c r="Q697" s="208"/>
      <c r="R697" s="208"/>
      <c r="S697" s="208"/>
      <c r="T697" s="208"/>
      <c r="U697" s="208"/>
      <c r="V697" s="208"/>
      <c r="W697" s="208"/>
      <c r="X697" s="208"/>
      <c r="Y697" s="208"/>
      <c r="Z697" s="208"/>
    </row>
    <row r="698" ht="12.0" customHeight="1">
      <c r="A698" s="208"/>
      <c r="B698" s="208"/>
      <c r="C698" s="208"/>
      <c r="D698" s="208"/>
      <c r="E698" s="208"/>
      <c r="F698" s="208"/>
      <c r="G698" s="208"/>
      <c r="H698" s="208"/>
      <c r="I698" s="208"/>
      <c r="J698" s="208"/>
      <c r="K698" s="208"/>
      <c r="L698" s="208"/>
      <c r="M698" s="208"/>
      <c r="N698" s="208"/>
      <c r="O698" s="208"/>
      <c r="P698" s="208"/>
      <c r="Q698" s="208"/>
      <c r="R698" s="208"/>
      <c r="S698" s="208"/>
      <c r="T698" s="208"/>
      <c r="U698" s="208"/>
      <c r="V698" s="208"/>
      <c r="W698" s="208"/>
      <c r="X698" s="208"/>
      <c r="Y698" s="208"/>
      <c r="Z698" s="208"/>
    </row>
    <row r="699" ht="12.0" customHeight="1">
      <c r="A699" s="208"/>
      <c r="B699" s="208"/>
      <c r="C699" s="208"/>
      <c r="D699" s="208"/>
      <c r="E699" s="208"/>
      <c r="F699" s="208"/>
      <c r="G699" s="208"/>
      <c r="H699" s="208"/>
      <c r="I699" s="208"/>
      <c r="J699" s="208"/>
      <c r="K699" s="208"/>
      <c r="L699" s="208"/>
      <c r="M699" s="208"/>
      <c r="N699" s="208"/>
      <c r="O699" s="208"/>
      <c r="P699" s="208"/>
      <c r="Q699" s="208"/>
      <c r="R699" s="208"/>
      <c r="S699" s="208"/>
      <c r="T699" s="208"/>
      <c r="U699" s="208"/>
      <c r="V699" s="208"/>
      <c r="W699" s="208"/>
      <c r="X699" s="208"/>
      <c r="Y699" s="208"/>
      <c r="Z699" s="208"/>
    </row>
    <row r="700" ht="12.0" customHeight="1">
      <c r="A700" s="208"/>
      <c r="B700" s="208"/>
      <c r="C700" s="208"/>
      <c r="D700" s="208"/>
      <c r="E700" s="208"/>
      <c r="F700" s="208"/>
      <c r="G700" s="208"/>
      <c r="H700" s="208"/>
      <c r="I700" s="208"/>
      <c r="J700" s="208"/>
      <c r="K700" s="208"/>
      <c r="L700" s="208"/>
      <c r="M700" s="208"/>
      <c r="N700" s="208"/>
      <c r="O700" s="208"/>
      <c r="P700" s="208"/>
      <c r="Q700" s="208"/>
      <c r="R700" s="208"/>
      <c r="S700" s="208"/>
      <c r="T700" s="208"/>
      <c r="U700" s="208"/>
      <c r="V700" s="208"/>
      <c r="W700" s="208"/>
      <c r="X700" s="208"/>
      <c r="Y700" s="208"/>
      <c r="Z700" s="208"/>
    </row>
    <row r="701" ht="12.0" customHeight="1">
      <c r="A701" s="208"/>
      <c r="B701" s="208"/>
      <c r="C701" s="208"/>
      <c r="D701" s="208"/>
      <c r="E701" s="208"/>
      <c r="F701" s="208"/>
      <c r="G701" s="208"/>
      <c r="H701" s="208"/>
      <c r="I701" s="208"/>
      <c r="J701" s="208"/>
      <c r="K701" s="208"/>
      <c r="L701" s="208"/>
      <c r="M701" s="208"/>
      <c r="N701" s="208"/>
      <c r="O701" s="208"/>
      <c r="P701" s="208"/>
      <c r="Q701" s="208"/>
      <c r="R701" s="208"/>
      <c r="S701" s="208"/>
      <c r="T701" s="208"/>
      <c r="U701" s="208"/>
      <c r="V701" s="208"/>
      <c r="W701" s="208"/>
      <c r="X701" s="208"/>
      <c r="Y701" s="208"/>
      <c r="Z701" s="208"/>
    </row>
    <row r="702" ht="12.0" customHeight="1">
      <c r="A702" s="208"/>
      <c r="B702" s="208"/>
      <c r="C702" s="208"/>
      <c r="D702" s="208"/>
      <c r="E702" s="208"/>
      <c r="F702" s="208"/>
      <c r="G702" s="208"/>
      <c r="H702" s="208"/>
      <c r="I702" s="208"/>
      <c r="J702" s="208"/>
      <c r="K702" s="208"/>
      <c r="L702" s="208"/>
      <c r="M702" s="208"/>
      <c r="N702" s="208"/>
      <c r="O702" s="208"/>
      <c r="P702" s="208"/>
      <c r="Q702" s="208"/>
      <c r="R702" s="208"/>
      <c r="S702" s="208"/>
      <c r="T702" s="208"/>
      <c r="U702" s="208"/>
      <c r="V702" s="208"/>
      <c r="W702" s="208"/>
      <c r="X702" s="208"/>
      <c r="Y702" s="208"/>
      <c r="Z702" s="208"/>
    </row>
    <row r="703" ht="12.0" customHeight="1">
      <c r="A703" s="208"/>
      <c r="B703" s="208"/>
      <c r="C703" s="208"/>
      <c r="D703" s="208"/>
      <c r="E703" s="208"/>
      <c r="F703" s="208"/>
      <c r="G703" s="208"/>
      <c r="H703" s="208"/>
      <c r="I703" s="208"/>
      <c r="J703" s="208"/>
      <c r="K703" s="208"/>
      <c r="L703" s="208"/>
      <c r="M703" s="208"/>
      <c r="N703" s="208"/>
      <c r="O703" s="208"/>
      <c r="P703" s="208"/>
      <c r="Q703" s="208"/>
      <c r="R703" s="208"/>
      <c r="S703" s="208"/>
      <c r="T703" s="208"/>
      <c r="U703" s="208"/>
      <c r="V703" s="208"/>
      <c r="W703" s="208"/>
      <c r="X703" s="208"/>
      <c r="Y703" s="208"/>
      <c r="Z703" s="208"/>
    </row>
    <row r="704" ht="12.0" customHeight="1">
      <c r="A704" s="208"/>
      <c r="B704" s="208"/>
      <c r="C704" s="208"/>
      <c r="D704" s="208"/>
      <c r="E704" s="208"/>
      <c r="F704" s="208"/>
      <c r="G704" s="208"/>
      <c r="H704" s="208"/>
      <c r="I704" s="208"/>
      <c r="J704" s="208"/>
      <c r="K704" s="208"/>
      <c r="L704" s="208"/>
      <c r="M704" s="208"/>
      <c r="N704" s="208"/>
      <c r="O704" s="208"/>
      <c r="P704" s="208"/>
      <c r="Q704" s="208"/>
      <c r="R704" s="208"/>
      <c r="S704" s="208"/>
      <c r="T704" s="208"/>
      <c r="U704" s="208"/>
      <c r="V704" s="208"/>
      <c r="W704" s="208"/>
      <c r="X704" s="208"/>
      <c r="Y704" s="208"/>
      <c r="Z704" s="208"/>
    </row>
    <row r="705" ht="12.0" customHeight="1">
      <c r="A705" s="208"/>
      <c r="B705" s="208"/>
      <c r="C705" s="208"/>
      <c r="D705" s="208"/>
      <c r="E705" s="208"/>
      <c r="F705" s="208"/>
      <c r="G705" s="208"/>
      <c r="H705" s="208"/>
      <c r="I705" s="208"/>
      <c r="J705" s="208"/>
      <c r="K705" s="208"/>
      <c r="L705" s="208"/>
      <c r="M705" s="208"/>
      <c r="N705" s="208"/>
      <c r="O705" s="208"/>
      <c r="P705" s="208"/>
      <c r="Q705" s="208"/>
      <c r="R705" s="208"/>
      <c r="S705" s="208"/>
      <c r="T705" s="208"/>
      <c r="U705" s="208"/>
      <c r="V705" s="208"/>
      <c r="W705" s="208"/>
      <c r="X705" s="208"/>
      <c r="Y705" s="208"/>
      <c r="Z705" s="208"/>
    </row>
    <row r="706" ht="12.0" customHeight="1">
      <c r="A706" s="208"/>
      <c r="B706" s="208"/>
      <c r="C706" s="208"/>
      <c r="D706" s="208"/>
      <c r="E706" s="208"/>
      <c r="F706" s="208"/>
      <c r="G706" s="208"/>
      <c r="H706" s="208"/>
      <c r="I706" s="208"/>
      <c r="J706" s="208"/>
      <c r="K706" s="208"/>
      <c r="L706" s="208"/>
      <c r="M706" s="208"/>
      <c r="N706" s="208"/>
      <c r="O706" s="208"/>
      <c r="P706" s="208"/>
      <c r="Q706" s="208"/>
      <c r="R706" s="208"/>
      <c r="S706" s="208"/>
      <c r="T706" s="208"/>
      <c r="U706" s="208"/>
      <c r="V706" s="208"/>
      <c r="W706" s="208"/>
      <c r="X706" s="208"/>
      <c r="Y706" s="208"/>
      <c r="Z706" s="208"/>
    </row>
    <row r="707" ht="12.0" customHeight="1">
      <c r="A707" s="208"/>
      <c r="B707" s="208"/>
      <c r="C707" s="208"/>
      <c r="D707" s="208"/>
      <c r="E707" s="208"/>
      <c r="F707" s="208"/>
      <c r="G707" s="208"/>
      <c r="H707" s="208"/>
      <c r="I707" s="208"/>
      <c r="J707" s="208"/>
      <c r="K707" s="208"/>
      <c r="L707" s="208"/>
      <c r="M707" s="208"/>
      <c r="N707" s="208"/>
      <c r="O707" s="208"/>
      <c r="P707" s="208"/>
      <c r="Q707" s="208"/>
      <c r="R707" s="208"/>
      <c r="S707" s="208"/>
      <c r="T707" s="208"/>
      <c r="U707" s="208"/>
      <c r="V707" s="208"/>
      <c r="W707" s="208"/>
      <c r="X707" s="208"/>
      <c r="Y707" s="208"/>
      <c r="Z707" s="208"/>
    </row>
    <row r="708" ht="12.0" customHeight="1">
      <c r="A708" s="208"/>
      <c r="B708" s="208"/>
      <c r="C708" s="208"/>
      <c r="D708" s="208"/>
      <c r="E708" s="208"/>
      <c r="F708" s="208"/>
      <c r="G708" s="208"/>
      <c r="H708" s="208"/>
      <c r="I708" s="208"/>
      <c r="J708" s="208"/>
      <c r="K708" s="208"/>
      <c r="L708" s="208"/>
      <c r="M708" s="208"/>
      <c r="N708" s="208"/>
      <c r="O708" s="208"/>
      <c r="P708" s="208"/>
      <c r="Q708" s="208"/>
      <c r="R708" s="208"/>
      <c r="S708" s="208"/>
      <c r="T708" s="208"/>
      <c r="U708" s="208"/>
      <c r="V708" s="208"/>
      <c r="W708" s="208"/>
      <c r="X708" s="208"/>
      <c r="Y708" s="208"/>
      <c r="Z708" s="208"/>
    </row>
    <row r="709" ht="12.0" customHeight="1">
      <c r="A709" s="208"/>
      <c r="B709" s="208"/>
      <c r="C709" s="208"/>
      <c r="D709" s="208"/>
      <c r="E709" s="208"/>
      <c r="F709" s="208"/>
      <c r="G709" s="208"/>
      <c r="H709" s="208"/>
      <c r="I709" s="208"/>
      <c r="J709" s="208"/>
      <c r="K709" s="208"/>
      <c r="L709" s="208"/>
      <c r="M709" s="208"/>
      <c r="N709" s="208"/>
      <c r="O709" s="208"/>
      <c r="P709" s="208"/>
      <c r="Q709" s="208"/>
      <c r="R709" s="208"/>
      <c r="S709" s="208"/>
      <c r="T709" s="208"/>
      <c r="U709" s="208"/>
      <c r="V709" s="208"/>
      <c r="W709" s="208"/>
      <c r="X709" s="208"/>
      <c r="Y709" s="208"/>
      <c r="Z709" s="208"/>
    </row>
    <row r="710" ht="12.0" customHeight="1">
      <c r="A710" s="208"/>
      <c r="B710" s="208"/>
      <c r="C710" s="208"/>
      <c r="D710" s="208"/>
      <c r="E710" s="208"/>
      <c r="F710" s="208"/>
      <c r="G710" s="208"/>
      <c r="H710" s="208"/>
      <c r="I710" s="208"/>
      <c r="J710" s="208"/>
      <c r="K710" s="208"/>
      <c r="L710" s="208"/>
      <c r="M710" s="208"/>
      <c r="N710" s="208"/>
      <c r="O710" s="208"/>
      <c r="P710" s="208"/>
      <c r="Q710" s="208"/>
      <c r="R710" s="208"/>
      <c r="S710" s="208"/>
      <c r="T710" s="208"/>
      <c r="U710" s="208"/>
      <c r="V710" s="208"/>
      <c r="W710" s="208"/>
      <c r="X710" s="208"/>
      <c r="Y710" s="208"/>
      <c r="Z710" s="208"/>
    </row>
    <row r="711" ht="12.0" customHeight="1">
      <c r="A711" s="208"/>
      <c r="B711" s="208"/>
      <c r="C711" s="208"/>
      <c r="D711" s="208"/>
      <c r="E711" s="208"/>
      <c r="F711" s="208"/>
      <c r="G711" s="208"/>
      <c r="H711" s="208"/>
      <c r="I711" s="208"/>
      <c r="J711" s="208"/>
      <c r="K711" s="208"/>
      <c r="L711" s="208"/>
      <c r="M711" s="208"/>
      <c r="N711" s="208"/>
      <c r="O711" s="208"/>
      <c r="P711" s="208"/>
      <c r="Q711" s="208"/>
      <c r="R711" s="208"/>
      <c r="S711" s="208"/>
      <c r="T711" s="208"/>
      <c r="U711" s="208"/>
      <c r="V711" s="208"/>
      <c r="W711" s="208"/>
      <c r="X711" s="208"/>
      <c r="Y711" s="208"/>
      <c r="Z711" s="208"/>
    </row>
    <row r="712" ht="12.0" customHeight="1">
      <c r="A712" s="208"/>
      <c r="B712" s="208"/>
      <c r="C712" s="208"/>
      <c r="D712" s="208"/>
      <c r="E712" s="208"/>
      <c r="F712" s="208"/>
      <c r="G712" s="208"/>
      <c r="H712" s="208"/>
      <c r="I712" s="208"/>
      <c r="J712" s="208"/>
      <c r="K712" s="208"/>
      <c r="L712" s="208"/>
      <c r="M712" s="208"/>
      <c r="N712" s="208"/>
      <c r="O712" s="208"/>
      <c r="P712" s="208"/>
      <c r="Q712" s="208"/>
      <c r="R712" s="208"/>
      <c r="S712" s="208"/>
      <c r="T712" s="208"/>
      <c r="U712" s="208"/>
      <c r="V712" s="208"/>
      <c r="W712" s="208"/>
      <c r="X712" s="208"/>
      <c r="Y712" s="208"/>
      <c r="Z712" s="208"/>
    </row>
    <row r="713" ht="12.0" customHeight="1">
      <c r="A713" s="208"/>
      <c r="B713" s="208"/>
      <c r="C713" s="208"/>
      <c r="D713" s="208"/>
      <c r="E713" s="208"/>
      <c r="F713" s="208"/>
      <c r="G713" s="208"/>
      <c r="H713" s="208"/>
      <c r="I713" s="208"/>
      <c r="J713" s="208"/>
      <c r="K713" s="208"/>
      <c r="L713" s="208"/>
      <c r="M713" s="208"/>
      <c r="N713" s="208"/>
      <c r="O713" s="208"/>
      <c r="P713" s="208"/>
      <c r="Q713" s="208"/>
      <c r="R713" s="208"/>
      <c r="S713" s="208"/>
      <c r="T713" s="208"/>
      <c r="U713" s="208"/>
      <c r="V713" s="208"/>
      <c r="W713" s="208"/>
      <c r="X713" s="208"/>
      <c r="Y713" s="208"/>
      <c r="Z713" s="208"/>
    </row>
    <row r="714" ht="12.0" customHeight="1">
      <c r="A714" s="208"/>
      <c r="B714" s="208"/>
      <c r="C714" s="208"/>
      <c r="D714" s="208"/>
      <c r="E714" s="208"/>
      <c r="F714" s="208"/>
      <c r="G714" s="208"/>
      <c r="H714" s="208"/>
      <c r="I714" s="208"/>
      <c r="J714" s="208"/>
      <c r="K714" s="208"/>
      <c r="L714" s="208"/>
      <c r="M714" s="208"/>
      <c r="N714" s="208"/>
      <c r="O714" s="208"/>
      <c r="P714" s="208"/>
      <c r="Q714" s="208"/>
      <c r="R714" s="208"/>
      <c r="S714" s="208"/>
      <c r="T714" s="208"/>
      <c r="U714" s="208"/>
      <c r="V714" s="208"/>
      <c r="W714" s="208"/>
      <c r="X714" s="208"/>
      <c r="Y714" s="208"/>
      <c r="Z714" s="208"/>
    </row>
    <row r="715" ht="12.0" customHeight="1">
      <c r="A715" s="208"/>
      <c r="B715" s="208"/>
      <c r="C715" s="208"/>
      <c r="D715" s="208"/>
      <c r="E715" s="208"/>
      <c r="F715" s="208"/>
      <c r="G715" s="208"/>
      <c r="H715" s="208"/>
      <c r="I715" s="208"/>
      <c r="J715" s="208"/>
      <c r="K715" s="208"/>
      <c r="L715" s="208"/>
      <c r="M715" s="208"/>
      <c r="N715" s="208"/>
      <c r="O715" s="208"/>
      <c r="P715" s="208"/>
      <c r="Q715" s="208"/>
      <c r="R715" s="208"/>
      <c r="S715" s="208"/>
      <c r="T715" s="208"/>
      <c r="U715" s="208"/>
      <c r="V715" s="208"/>
      <c r="W715" s="208"/>
      <c r="X715" s="208"/>
      <c r="Y715" s="208"/>
      <c r="Z715" s="208"/>
    </row>
    <row r="716" ht="12.0" customHeight="1">
      <c r="A716" s="208"/>
      <c r="B716" s="208"/>
      <c r="C716" s="208"/>
      <c r="D716" s="208"/>
      <c r="E716" s="208"/>
      <c r="F716" s="208"/>
      <c r="G716" s="208"/>
      <c r="H716" s="208"/>
      <c r="I716" s="208"/>
      <c r="J716" s="208"/>
      <c r="K716" s="208"/>
      <c r="L716" s="208"/>
      <c r="M716" s="208"/>
      <c r="N716" s="208"/>
      <c r="O716" s="208"/>
      <c r="P716" s="208"/>
      <c r="Q716" s="208"/>
      <c r="R716" s="208"/>
      <c r="S716" s="208"/>
      <c r="T716" s="208"/>
      <c r="U716" s="208"/>
      <c r="V716" s="208"/>
      <c r="W716" s="208"/>
      <c r="X716" s="208"/>
      <c r="Y716" s="208"/>
      <c r="Z716" s="208"/>
    </row>
    <row r="717" ht="12.0" customHeight="1">
      <c r="A717" s="208"/>
      <c r="B717" s="208"/>
      <c r="C717" s="208"/>
      <c r="D717" s="208"/>
      <c r="E717" s="208"/>
      <c r="F717" s="208"/>
      <c r="G717" s="208"/>
      <c r="H717" s="208"/>
      <c r="I717" s="208"/>
      <c r="J717" s="208"/>
      <c r="K717" s="208"/>
      <c r="L717" s="208"/>
      <c r="M717" s="208"/>
      <c r="N717" s="208"/>
      <c r="O717" s="208"/>
      <c r="P717" s="208"/>
      <c r="Q717" s="208"/>
      <c r="R717" s="208"/>
      <c r="S717" s="208"/>
      <c r="T717" s="208"/>
      <c r="U717" s="208"/>
      <c r="V717" s="208"/>
      <c r="W717" s="208"/>
      <c r="X717" s="208"/>
      <c r="Y717" s="208"/>
      <c r="Z717" s="208"/>
    </row>
    <row r="718" ht="12.0" customHeight="1">
      <c r="A718" s="208"/>
      <c r="B718" s="208"/>
      <c r="C718" s="208"/>
      <c r="D718" s="208"/>
      <c r="E718" s="208"/>
      <c r="F718" s="208"/>
      <c r="G718" s="208"/>
      <c r="H718" s="208"/>
      <c r="I718" s="208"/>
      <c r="J718" s="208"/>
      <c r="K718" s="208"/>
      <c r="L718" s="208"/>
      <c r="M718" s="208"/>
      <c r="N718" s="208"/>
      <c r="O718" s="208"/>
      <c r="P718" s="208"/>
      <c r="Q718" s="208"/>
      <c r="R718" s="208"/>
      <c r="S718" s="208"/>
      <c r="T718" s="208"/>
      <c r="U718" s="208"/>
      <c r="V718" s="208"/>
      <c r="W718" s="208"/>
      <c r="X718" s="208"/>
      <c r="Y718" s="208"/>
      <c r="Z718" s="208"/>
    </row>
    <row r="719" ht="12.0" customHeight="1">
      <c r="A719" s="208"/>
      <c r="B719" s="208"/>
      <c r="C719" s="208"/>
      <c r="D719" s="208"/>
      <c r="E719" s="208"/>
      <c r="F719" s="208"/>
      <c r="G719" s="208"/>
      <c r="H719" s="208"/>
      <c r="I719" s="208"/>
      <c r="J719" s="208"/>
      <c r="K719" s="208"/>
      <c r="L719" s="208"/>
      <c r="M719" s="208"/>
      <c r="N719" s="208"/>
      <c r="O719" s="208"/>
      <c r="P719" s="208"/>
      <c r="Q719" s="208"/>
      <c r="R719" s="208"/>
      <c r="S719" s="208"/>
      <c r="T719" s="208"/>
      <c r="U719" s="208"/>
      <c r="V719" s="208"/>
      <c r="W719" s="208"/>
      <c r="X719" s="208"/>
      <c r="Y719" s="208"/>
      <c r="Z719" s="208"/>
    </row>
    <row r="720" ht="12.0" customHeight="1">
      <c r="A720" s="208"/>
      <c r="B720" s="208"/>
      <c r="C720" s="208"/>
      <c r="D720" s="208"/>
      <c r="E720" s="208"/>
      <c r="F720" s="208"/>
      <c r="G720" s="208"/>
      <c r="H720" s="208"/>
      <c r="I720" s="208"/>
      <c r="J720" s="208"/>
      <c r="K720" s="208"/>
      <c r="L720" s="208"/>
      <c r="M720" s="208"/>
      <c r="N720" s="208"/>
      <c r="O720" s="208"/>
      <c r="P720" s="208"/>
      <c r="Q720" s="208"/>
      <c r="R720" s="208"/>
      <c r="S720" s="208"/>
      <c r="T720" s="208"/>
      <c r="U720" s="208"/>
      <c r="V720" s="208"/>
      <c r="W720" s="208"/>
      <c r="X720" s="208"/>
      <c r="Y720" s="208"/>
      <c r="Z720" s="208"/>
    </row>
    <row r="721" ht="12.0" customHeight="1">
      <c r="A721" s="208"/>
      <c r="B721" s="208"/>
      <c r="C721" s="208"/>
      <c r="D721" s="208"/>
      <c r="E721" s="208"/>
      <c r="F721" s="208"/>
      <c r="G721" s="208"/>
      <c r="H721" s="208"/>
      <c r="I721" s="208"/>
      <c r="J721" s="208"/>
      <c r="K721" s="208"/>
      <c r="L721" s="208"/>
      <c r="M721" s="208"/>
      <c r="N721" s="208"/>
      <c r="O721" s="208"/>
      <c r="P721" s="208"/>
      <c r="Q721" s="208"/>
      <c r="R721" s="208"/>
      <c r="S721" s="208"/>
      <c r="T721" s="208"/>
      <c r="U721" s="208"/>
      <c r="V721" s="208"/>
      <c r="W721" s="208"/>
      <c r="X721" s="208"/>
      <c r="Y721" s="208"/>
      <c r="Z721" s="208"/>
    </row>
    <row r="722" ht="12.0" customHeight="1">
      <c r="A722" s="208"/>
      <c r="B722" s="208"/>
      <c r="C722" s="208"/>
      <c r="D722" s="208"/>
      <c r="E722" s="208"/>
      <c r="F722" s="208"/>
      <c r="G722" s="208"/>
      <c r="H722" s="208"/>
      <c r="I722" s="208"/>
      <c r="J722" s="208"/>
      <c r="K722" s="208"/>
      <c r="L722" s="208"/>
      <c r="M722" s="208"/>
      <c r="N722" s="208"/>
      <c r="O722" s="208"/>
      <c r="P722" s="208"/>
      <c r="Q722" s="208"/>
      <c r="R722" s="208"/>
      <c r="S722" s="208"/>
      <c r="T722" s="208"/>
      <c r="U722" s="208"/>
      <c r="V722" s="208"/>
      <c r="W722" s="208"/>
      <c r="X722" s="208"/>
      <c r="Y722" s="208"/>
      <c r="Z722" s="208"/>
    </row>
    <row r="723" ht="12.0" customHeight="1">
      <c r="A723" s="208"/>
      <c r="B723" s="208"/>
      <c r="C723" s="208"/>
      <c r="D723" s="208"/>
      <c r="E723" s="208"/>
      <c r="F723" s="208"/>
      <c r="G723" s="208"/>
      <c r="H723" s="208"/>
      <c r="I723" s="208"/>
      <c r="J723" s="208"/>
      <c r="K723" s="208"/>
      <c r="L723" s="208"/>
      <c r="M723" s="208"/>
      <c r="N723" s="208"/>
      <c r="O723" s="208"/>
      <c r="P723" s="208"/>
      <c r="Q723" s="208"/>
      <c r="R723" s="208"/>
      <c r="S723" s="208"/>
      <c r="T723" s="208"/>
      <c r="U723" s="208"/>
      <c r="V723" s="208"/>
      <c r="W723" s="208"/>
      <c r="X723" s="208"/>
      <c r="Y723" s="208"/>
      <c r="Z723" s="208"/>
    </row>
    <row r="724" ht="12.0" customHeight="1">
      <c r="A724" s="208"/>
      <c r="B724" s="208"/>
      <c r="C724" s="208"/>
      <c r="D724" s="208"/>
      <c r="E724" s="208"/>
      <c r="F724" s="208"/>
      <c r="G724" s="208"/>
      <c r="H724" s="208"/>
      <c r="I724" s="208"/>
      <c r="J724" s="208"/>
      <c r="K724" s="208"/>
      <c r="L724" s="208"/>
      <c r="M724" s="208"/>
      <c r="N724" s="208"/>
      <c r="O724" s="208"/>
      <c r="P724" s="208"/>
      <c r="Q724" s="208"/>
      <c r="R724" s="208"/>
      <c r="S724" s="208"/>
      <c r="T724" s="208"/>
      <c r="U724" s="208"/>
      <c r="V724" s="208"/>
      <c r="W724" s="208"/>
      <c r="X724" s="208"/>
      <c r="Y724" s="208"/>
      <c r="Z724" s="208"/>
    </row>
    <row r="725" ht="12.0" customHeight="1">
      <c r="A725" s="208"/>
      <c r="B725" s="208"/>
      <c r="C725" s="208"/>
      <c r="D725" s="208"/>
      <c r="E725" s="208"/>
      <c r="F725" s="208"/>
      <c r="G725" s="208"/>
      <c r="H725" s="208"/>
      <c r="I725" s="208"/>
      <c r="J725" s="208"/>
      <c r="K725" s="208"/>
      <c r="L725" s="208"/>
      <c r="M725" s="208"/>
      <c r="N725" s="208"/>
      <c r="O725" s="208"/>
      <c r="P725" s="208"/>
      <c r="Q725" s="208"/>
      <c r="R725" s="208"/>
      <c r="S725" s="208"/>
      <c r="T725" s="208"/>
      <c r="U725" s="208"/>
      <c r="V725" s="208"/>
      <c r="W725" s="208"/>
      <c r="X725" s="208"/>
      <c r="Y725" s="208"/>
      <c r="Z725" s="208"/>
    </row>
    <row r="726" ht="12.0" customHeight="1">
      <c r="A726" s="208"/>
      <c r="B726" s="208"/>
      <c r="C726" s="208"/>
      <c r="D726" s="208"/>
      <c r="E726" s="208"/>
      <c r="F726" s="208"/>
      <c r="G726" s="208"/>
      <c r="H726" s="208"/>
      <c r="I726" s="208"/>
      <c r="J726" s="208"/>
      <c r="K726" s="208"/>
      <c r="L726" s="208"/>
      <c r="M726" s="208"/>
      <c r="N726" s="208"/>
      <c r="O726" s="208"/>
      <c r="P726" s="208"/>
      <c r="Q726" s="208"/>
      <c r="R726" s="208"/>
      <c r="S726" s="208"/>
      <c r="T726" s="208"/>
      <c r="U726" s="208"/>
      <c r="V726" s="208"/>
      <c r="W726" s="208"/>
      <c r="X726" s="208"/>
      <c r="Y726" s="208"/>
      <c r="Z726" s="208"/>
    </row>
    <row r="727" ht="12.0" customHeight="1">
      <c r="A727" s="208"/>
      <c r="B727" s="208"/>
      <c r="C727" s="208"/>
      <c r="D727" s="208"/>
      <c r="E727" s="208"/>
      <c r="F727" s="208"/>
      <c r="G727" s="208"/>
      <c r="H727" s="208"/>
      <c r="I727" s="208"/>
      <c r="J727" s="208"/>
      <c r="K727" s="208"/>
      <c r="L727" s="208"/>
      <c r="M727" s="208"/>
      <c r="N727" s="208"/>
      <c r="O727" s="208"/>
      <c r="P727" s="208"/>
      <c r="Q727" s="208"/>
      <c r="R727" s="208"/>
      <c r="S727" s="208"/>
      <c r="T727" s="208"/>
      <c r="U727" s="208"/>
      <c r="V727" s="208"/>
      <c r="W727" s="208"/>
      <c r="X727" s="208"/>
      <c r="Y727" s="208"/>
      <c r="Z727" s="208"/>
    </row>
    <row r="728" ht="12.0" customHeight="1">
      <c r="A728" s="208"/>
      <c r="B728" s="208"/>
      <c r="C728" s="208"/>
      <c r="D728" s="208"/>
      <c r="E728" s="208"/>
      <c r="F728" s="208"/>
      <c r="G728" s="208"/>
      <c r="H728" s="208"/>
      <c r="I728" s="208"/>
      <c r="J728" s="208"/>
      <c r="K728" s="208"/>
      <c r="L728" s="208"/>
      <c r="M728" s="208"/>
      <c r="N728" s="208"/>
      <c r="O728" s="208"/>
      <c r="P728" s="208"/>
      <c r="Q728" s="208"/>
      <c r="R728" s="208"/>
      <c r="S728" s="208"/>
      <c r="T728" s="208"/>
      <c r="U728" s="208"/>
      <c r="V728" s="208"/>
      <c r="W728" s="208"/>
      <c r="X728" s="208"/>
      <c r="Y728" s="208"/>
      <c r="Z728" s="208"/>
    </row>
    <row r="729" ht="12.0" customHeight="1">
      <c r="A729" s="208"/>
      <c r="B729" s="208"/>
      <c r="C729" s="208"/>
      <c r="D729" s="208"/>
      <c r="E729" s="208"/>
      <c r="F729" s="208"/>
      <c r="G729" s="208"/>
      <c r="H729" s="208"/>
      <c r="I729" s="208"/>
      <c r="J729" s="208"/>
      <c r="K729" s="208"/>
      <c r="L729" s="208"/>
      <c r="M729" s="208"/>
      <c r="N729" s="208"/>
      <c r="O729" s="208"/>
      <c r="P729" s="208"/>
      <c r="Q729" s="208"/>
      <c r="R729" s="208"/>
      <c r="S729" s="208"/>
      <c r="T729" s="208"/>
      <c r="U729" s="208"/>
      <c r="V729" s="208"/>
      <c r="W729" s="208"/>
      <c r="X729" s="208"/>
      <c r="Y729" s="208"/>
      <c r="Z729" s="208"/>
    </row>
    <row r="730" ht="12.0" customHeight="1">
      <c r="A730" s="208"/>
      <c r="B730" s="208"/>
      <c r="C730" s="208"/>
      <c r="D730" s="208"/>
      <c r="E730" s="208"/>
      <c r="F730" s="208"/>
      <c r="G730" s="208"/>
      <c r="H730" s="208"/>
      <c r="I730" s="208"/>
      <c r="J730" s="208"/>
      <c r="K730" s="208"/>
      <c r="L730" s="208"/>
      <c r="M730" s="208"/>
      <c r="N730" s="208"/>
      <c r="O730" s="208"/>
      <c r="P730" s="208"/>
      <c r="Q730" s="208"/>
      <c r="R730" s="208"/>
      <c r="S730" s="208"/>
      <c r="T730" s="208"/>
      <c r="U730" s="208"/>
      <c r="V730" s="208"/>
      <c r="W730" s="208"/>
      <c r="X730" s="208"/>
      <c r="Y730" s="208"/>
      <c r="Z730" s="208"/>
    </row>
    <row r="731" ht="12.0" customHeight="1">
      <c r="A731" s="208"/>
      <c r="B731" s="208"/>
      <c r="C731" s="208"/>
      <c r="D731" s="208"/>
      <c r="E731" s="208"/>
      <c r="F731" s="208"/>
      <c r="G731" s="208"/>
      <c r="H731" s="208"/>
      <c r="I731" s="208"/>
      <c r="J731" s="208"/>
      <c r="K731" s="208"/>
      <c r="L731" s="208"/>
      <c r="M731" s="208"/>
      <c r="N731" s="208"/>
      <c r="O731" s="208"/>
      <c r="P731" s="208"/>
      <c r="Q731" s="208"/>
      <c r="R731" s="208"/>
      <c r="S731" s="208"/>
      <c r="T731" s="208"/>
      <c r="U731" s="208"/>
      <c r="V731" s="208"/>
      <c r="W731" s="208"/>
      <c r="X731" s="208"/>
      <c r="Y731" s="208"/>
      <c r="Z731" s="208"/>
    </row>
    <row r="732" ht="12.0" customHeight="1">
      <c r="A732" s="208"/>
      <c r="B732" s="208"/>
      <c r="C732" s="208"/>
      <c r="D732" s="208"/>
      <c r="E732" s="208"/>
      <c r="F732" s="208"/>
      <c r="G732" s="208"/>
      <c r="H732" s="208"/>
      <c r="I732" s="208"/>
      <c r="J732" s="208"/>
      <c r="K732" s="208"/>
      <c r="L732" s="208"/>
      <c r="M732" s="208"/>
      <c r="N732" s="208"/>
      <c r="O732" s="208"/>
      <c r="P732" s="208"/>
      <c r="Q732" s="208"/>
      <c r="R732" s="208"/>
      <c r="S732" s="208"/>
      <c r="T732" s="208"/>
      <c r="U732" s="208"/>
      <c r="V732" s="208"/>
      <c r="W732" s="208"/>
      <c r="X732" s="208"/>
      <c r="Y732" s="208"/>
      <c r="Z732" s="208"/>
    </row>
    <row r="733" ht="12.0" customHeight="1">
      <c r="A733" s="208"/>
      <c r="B733" s="208"/>
      <c r="C733" s="208"/>
      <c r="D733" s="208"/>
      <c r="E733" s="208"/>
      <c r="F733" s="208"/>
      <c r="G733" s="208"/>
      <c r="H733" s="208"/>
      <c r="I733" s="208"/>
      <c r="J733" s="208"/>
      <c r="K733" s="208"/>
      <c r="L733" s="208"/>
      <c r="M733" s="208"/>
      <c r="N733" s="208"/>
      <c r="O733" s="208"/>
      <c r="P733" s="208"/>
      <c r="Q733" s="208"/>
      <c r="R733" s="208"/>
      <c r="S733" s="208"/>
      <c r="T733" s="208"/>
      <c r="U733" s="208"/>
      <c r="V733" s="208"/>
      <c r="W733" s="208"/>
      <c r="X733" s="208"/>
      <c r="Y733" s="208"/>
      <c r="Z733" s="208"/>
    </row>
    <row r="734" ht="12.0" customHeight="1">
      <c r="A734" s="208"/>
      <c r="B734" s="208"/>
      <c r="C734" s="208"/>
      <c r="D734" s="208"/>
      <c r="E734" s="208"/>
      <c r="F734" s="208"/>
      <c r="G734" s="208"/>
      <c r="H734" s="208"/>
      <c r="I734" s="208"/>
      <c r="J734" s="208"/>
      <c r="K734" s="208"/>
      <c r="L734" s="208"/>
      <c r="M734" s="208"/>
      <c r="N734" s="208"/>
      <c r="O734" s="208"/>
      <c r="P734" s="208"/>
      <c r="Q734" s="208"/>
      <c r="R734" s="208"/>
      <c r="S734" s="208"/>
      <c r="T734" s="208"/>
      <c r="U734" s="208"/>
      <c r="V734" s="208"/>
      <c r="W734" s="208"/>
      <c r="X734" s="208"/>
      <c r="Y734" s="208"/>
      <c r="Z734" s="208"/>
    </row>
    <row r="735" ht="12.0" customHeight="1">
      <c r="A735" s="208"/>
      <c r="B735" s="208"/>
      <c r="C735" s="208"/>
      <c r="D735" s="208"/>
      <c r="E735" s="208"/>
      <c r="F735" s="208"/>
      <c r="G735" s="208"/>
      <c r="H735" s="208"/>
      <c r="I735" s="208"/>
      <c r="J735" s="208"/>
      <c r="K735" s="208"/>
      <c r="L735" s="208"/>
      <c r="M735" s="208"/>
      <c r="N735" s="208"/>
      <c r="O735" s="208"/>
      <c r="P735" s="208"/>
      <c r="Q735" s="208"/>
      <c r="R735" s="208"/>
      <c r="S735" s="208"/>
      <c r="T735" s="208"/>
      <c r="U735" s="208"/>
      <c r="V735" s="208"/>
      <c r="W735" s="208"/>
      <c r="X735" s="208"/>
      <c r="Y735" s="208"/>
      <c r="Z735" s="208"/>
    </row>
    <row r="736" ht="12.0" customHeight="1">
      <c r="A736" s="208"/>
      <c r="B736" s="208"/>
      <c r="C736" s="208"/>
      <c r="D736" s="208"/>
      <c r="E736" s="208"/>
      <c r="F736" s="208"/>
      <c r="G736" s="208"/>
      <c r="H736" s="208"/>
      <c r="I736" s="208"/>
      <c r="J736" s="208"/>
      <c r="K736" s="208"/>
      <c r="L736" s="208"/>
      <c r="M736" s="208"/>
      <c r="N736" s="208"/>
      <c r="O736" s="208"/>
      <c r="P736" s="208"/>
      <c r="Q736" s="208"/>
      <c r="R736" s="208"/>
      <c r="S736" s="208"/>
      <c r="T736" s="208"/>
      <c r="U736" s="208"/>
      <c r="V736" s="208"/>
      <c r="W736" s="208"/>
      <c r="X736" s="208"/>
      <c r="Y736" s="208"/>
      <c r="Z736" s="208"/>
    </row>
    <row r="737" ht="12.0" customHeight="1">
      <c r="A737" s="208"/>
      <c r="B737" s="208"/>
      <c r="C737" s="208"/>
      <c r="D737" s="208"/>
      <c r="E737" s="208"/>
      <c r="F737" s="208"/>
      <c r="G737" s="208"/>
      <c r="H737" s="208"/>
      <c r="I737" s="208"/>
      <c r="J737" s="208"/>
      <c r="K737" s="208"/>
      <c r="L737" s="208"/>
      <c r="M737" s="208"/>
      <c r="N737" s="208"/>
      <c r="O737" s="208"/>
      <c r="P737" s="208"/>
      <c r="Q737" s="208"/>
      <c r="R737" s="208"/>
      <c r="S737" s="208"/>
      <c r="T737" s="208"/>
      <c r="U737" s="208"/>
      <c r="V737" s="208"/>
      <c r="W737" s="208"/>
      <c r="X737" s="208"/>
      <c r="Y737" s="208"/>
      <c r="Z737" s="208"/>
    </row>
    <row r="738" ht="12.0" customHeight="1">
      <c r="A738" s="208"/>
      <c r="B738" s="208"/>
      <c r="C738" s="208"/>
      <c r="D738" s="208"/>
      <c r="E738" s="208"/>
      <c r="F738" s="208"/>
      <c r="G738" s="208"/>
      <c r="H738" s="208"/>
      <c r="I738" s="208"/>
      <c r="J738" s="208"/>
      <c r="K738" s="208"/>
      <c r="L738" s="208"/>
      <c r="M738" s="208"/>
      <c r="N738" s="208"/>
      <c r="O738" s="208"/>
      <c r="P738" s="208"/>
      <c r="Q738" s="208"/>
      <c r="R738" s="208"/>
      <c r="S738" s="208"/>
      <c r="T738" s="208"/>
      <c r="U738" s="208"/>
      <c r="V738" s="208"/>
      <c r="W738" s="208"/>
      <c r="X738" s="208"/>
      <c r="Y738" s="208"/>
      <c r="Z738" s="208"/>
    </row>
    <row r="739" ht="12.0" customHeight="1">
      <c r="A739" s="208"/>
      <c r="B739" s="208"/>
      <c r="C739" s="208"/>
      <c r="D739" s="208"/>
      <c r="E739" s="208"/>
      <c r="F739" s="208"/>
      <c r="G739" s="208"/>
      <c r="H739" s="208"/>
      <c r="I739" s="208"/>
      <c r="J739" s="208"/>
      <c r="K739" s="208"/>
      <c r="L739" s="208"/>
      <c r="M739" s="208"/>
      <c r="N739" s="208"/>
      <c r="O739" s="208"/>
      <c r="P739" s="208"/>
      <c r="Q739" s="208"/>
      <c r="R739" s="208"/>
      <c r="S739" s="208"/>
      <c r="T739" s="208"/>
      <c r="U739" s="208"/>
      <c r="V739" s="208"/>
      <c r="W739" s="208"/>
      <c r="X739" s="208"/>
      <c r="Y739" s="208"/>
      <c r="Z739" s="208"/>
    </row>
    <row r="740" ht="12.0" customHeight="1">
      <c r="A740" s="208"/>
      <c r="B740" s="208"/>
      <c r="C740" s="208"/>
      <c r="D740" s="208"/>
      <c r="E740" s="208"/>
      <c r="F740" s="208"/>
      <c r="G740" s="208"/>
      <c r="H740" s="208"/>
      <c r="I740" s="208"/>
      <c r="J740" s="208"/>
      <c r="K740" s="208"/>
      <c r="L740" s="208"/>
      <c r="M740" s="208"/>
      <c r="N740" s="208"/>
      <c r="O740" s="208"/>
      <c r="P740" s="208"/>
      <c r="Q740" s="208"/>
      <c r="R740" s="208"/>
      <c r="S740" s="208"/>
      <c r="T740" s="208"/>
      <c r="U740" s="208"/>
      <c r="V740" s="208"/>
      <c r="W740" s="208"/>
      <c r="X740" s="208"/>
      <c r="Y740" s="208"/>
      <c r="Z740" s="208"/>
    </row>
    <row r="741" ht="12.0" customHeight="1">
      <c r="A741" s="208"/>
      <c r="B741" s="208"/>
      <c r="C741" s="208"/>
      <c r="D741" s="208"/>
      <c r="E741" s="208"/>
      <c r="F741" s="208"/>
      <c r="G741" s="208"/>
      <c r="H741" s="208"/>
      <c r="I741" s="208"/>
      <c r="J741" s="208"/>
      <c r="K741" s="208"/>
      <c r="L741" s="208"/>
      <c r="M741" s="208"/>
      <c r="N741" s="208"/>
      <c r="O741" s="208"/>
      <c r="P741" s="208"/>
      <c r="Q741" s="208"/>
      <c r="R741" s="208"/>
      <c r="S741" s="208"/>
      <c r="T741" s="208"/>
      <c r="U741" s="208"/>
      <c r="V741" s="208"/>
      <c r="W741" s="208"/>
      <c r="X741" s="208"/>
      <c r="Y741" s="208"/>
      <c r="Z741" s="208"/>
    </row>
    <row r="742" ht="12.0" customHeight="1">
      <c r="A742" s="208"/>
      <c r="B742" s="208"/>
      <c r="C742" s="208"/>
      <c r="D742" s="208"/>
      <c r="E742" s="208"/>
      <c r="F742" s="208"/>
      <c r="G742" s="208"/>
      <c r="H742" s="208"/>
      <c r="I742" s="208"/>
      <c r="J742" s="208"/>
      <c r="K742" s="208"/>
      <c r="L742" s="208"/>
      <c r="M742" s="208"/>
      <c r="N742" s="208"/>
      <c r="O742" s="208"/>
      <c r="P742" s="208"/>
      <c r="Q742" s="208"/>
      <c r="R742" s="208"/>
      <c r="S742" s="208"/>
      <c r="T742" s="208"/>
      <c r="U742" s="208"/>
      <c r="V742" s="208"/>
      <c r="W742" s="208"/>
      <c r="X742" s="208"/>
      <c r="Y742" s="208"/>
      <c r="Z742" s="208"/>
    </row>
    <row r="743" ht="12.0" customHeight="1">
      <c r="A743" s="208"/>
      <c r="B743" s="208"/>
      <c r="C743" s="208"/>
      <c r="D743" s="208"/>
      <c r="E743" s="208"/>
      <c r="F743" s="208"/>
      <c r="G743" s="208"/>
      <c r="H743" s="208"/>
      <c r="I743" s="208"/>
      <c r="J743" s="208"/>
      <c r="K743" s="208"/>
      <c r="L743" s="208"/>
      <c r="M743" s="208"/>
      <c r="N743" s="208"/>
      <c r="O743" s="208"/>
      <c r="P743" s="208"/>
      <c r="Q743" s="208"/>
      <c r="R743" s="208"/>
      <c r="S743" s="208"/>
      <c r="T743" s="208"/>
      <c r="U743" s="208"/>
      <c r="V743" s="208"/>
      <c r="W743" s="208"/>
      <c r="X743" s="208"/>
      <c r="Y743" s="208"/>
      <c r="Z743" s="208"/>
    </row>
    <row r="744" ht="12.0" customHeight="1">
      <c r="A744" s="208"/>
      <c r="B744" s="208"/>
      <c r="C744" s="208"/>
      <c r="D744" s="208"/>
      <c r="E744" s="208"/>
      <c r="F744" s="208"/>
      <c r="G744" s="208"/>
      <c r="H744" s="208"/>
      <c r="I744" s="208"/>
      <c r="J744" s="208"/>
      <c r="K744" s="208"/>
      <c r="L744" s="208"/>
      <c r="M744" s="208"/>
      <c r="N744" s="208"/>
      <c r="O744" s="208"/>
      <c r="P744" s="208"/>
      <c r="Q744" s="208"/>
      <c r="R744" s="208"/>
      <c r="S744" s="208"/>
      <c r="T744" s="208"/>
      <c r="U744" s="208"/>
      <c r="V744" s="208"/>
      <c r="W744" s="208"/>
      <c r="X744" s="208"/>
      <c r="Y744" s="208"/>
      <c r="Z744" s="208"/>
    </row>
    <row r="745" ht="12.0" customHeight="1">
      <c r="A745" s="208"/>
      <c r="B745" s="208"/>
      <c r="C745" s="208"/>
      <c r="D745" s="208"/>
      <c r="E745" s="208"/>
      <c r="F745" s="208"/>
      <c r="G745" s="208"/>
      <c r="H745" s="208"/>
      <c r="I745" s="208"/>
      <c r="J745" s="208"/>
      <c r="K745" s="208"/>
      <c r="L745" s="208"/>
      <c r="M745" s="208"/>
      <c r="N745" s="208"/>
      <c r="O745" s="208"/>
      <c r="P745" s="208"/>
      <c r="Q745" s="208"/>
      <c r="R745" s="208"/>
      <c r="S745" s="208"/>
      <c r="T745" s="208"/>
      <c r="U745" s="208"/>
      <c r="V745" s="208"/>
      <c r="W745" s="208"/>
      <c r="X745" s="208"/>
      <c r="Y745" s="208"/>
      <c r="Z745" s="208"/>
    </row>
    <row r="746" ht="12.0" customHeight="1">
      <c r="A746" s="208"/>
      <c r="B746" s="208"/>
      <c r="C746" s="208"/>
      <c r="D746" s="208"/>
      <c r="E746" s="208"/>
      <c r="F746" s="208"/>
      <c r="G746" s="208"/>
      <c r="H746" s="208"/>
      <c r="I746" s="208"/>
      <c r="J746" s="208"/>
      <c r="K746" s="208"/>
      <c r="L746" s="208"/>
      <c r="M746" s="208"/>
      <c r="N746" s="208"/>
      <c r="O746" s="208"/>
      <c r="P746" s="208"/>
      <c r="Q746" s="208"/>
      <c r="R746" s="208"/>
      <c r="S746" s="208"/>
      <c r="T746" s="208"/>
      <c r="U746" s="208"/>
      <c r="V746" s="208"/>
      <c r="W746" s="208"/>
      <c r="X746" s="208"/>
      <c r="Y746" s="208"/>
      <c r="Z746" s="208"/>
    </row>
    <row r="747" ht="12.0" customHeight="1">
      <c r="A747" s="208"/>
      <c r="B747" s="208"/>
      <c r="C747" s="208"/>
      <c r="D747" s="208"/>
      <c r="E747" s="208"/>
      <c r="F747" s="208"/>
      <c r="G747" s="208"/>
      <c r="H747" s="208"/>
      <c r="I747" s="208"/>
      <c r="J747" s="208"/>
      <c r="K747" s="208"/>
      <c r="L747" s="208"/>
      <c r="M747" s="208"/>
      <c r="N747" s="208"/>
      <c r="O747" s="208"/>
      <c r="P747" s="208"/>
      <c r="Q747" s="208"/>
      <c r="R747" s="208"/>
      <c r="S747" s="208"/>
      <c r="T747" s="208"/>
      <c r="U747" s="208"/>
      <c r="V747" s="208"/>
      <c r="W747" s="208"/>
      <c r="X747" s="208"/>
      <c r="Y747" s="208"/>
      <c r="Z747" s="208"/>
    </row>
    <row r="748" ht="12.0" customHeight="1">
      <c r="A748" s="208"/>
      <c r="B748" s="208"/>
      <c r="C748" s="208"/>
      <c r="D748" s="208"/>
      <c r="E748" s="208"/>
      <c r="F748" s="208"/>
      <c r="G748" s="208"/>
      <c r="H748" s="208"/>
      <c r="I748" s="208"/>
      <c r="J748" s="208"/>
      <c r="K748" s="208"/>
      <c r="L748" s="208"/>
      <c r="M748" s="208"/>
      <c r="N748" s="208"/>
      <c r="O748" s="208"/>
      <c r="P748" s="208"/>
      <c r="Q748" s="208"/>
      <c r="R748" s="208"/>
      <c r="S748" s="208"/>
      <c r="T748" s="208"/>
      <c r="U748" s="208"/>
      <c r="V748" s="208"/>
      <c r="W748" s="208"/>
      <c r="X748" s="208"/>
      <c r="Y748" s="208"/>
      <c r="Z748" s="208"/>
    </row>
    <row r="749" ht="12.0" customHeight="1">
      <c r="A749" s="208"/>
      <c r="B749" s="208"/>
      <c r="C749" s="208"/>
      <c r="D749" s="208"/>
      <c r="E749" s="208"/>
      <c r="F749" s="208"/>
      <c r="G749" s="208"/>
      <c r="H749" s="208"/>
      <c r="I749" s="208"/>
      <c r="J749" s="208"/>
      <c r="K749" s="208"/>
      <c r="L749" s="208"/>
      <c r="M749" s="208"/>
      <c r="N749" s="208"/>
      <c r="O749" s="208"/>
      <c r="P749" s="208"/>
      <c r="Q749" s="208"/>
      <c r="R749" s="208"/>
      <c r="S749" s="208"/>
      <c r="T749" s="208"/>
      <c r="U749" s="208"/>
      <c r="V749" s="208"/>
      <c r="W749" s="208"/>
      <c r="X749" s="208"/>
      <c r="Y749" s="208"/>
      <c r="Z749" s="208"/>
    </row>
    <row r="750" ht="12.0" customHeight="1">
      <c r="A750" s="208"/>
      <c r="B750" s="208"/>
      <c r="C750" s="208"/>
      <c r="D750" s="208"/>
      <c r="E750" s="208"/>
      <c r="F750" s="208"/>
      <c r="G750" s="208"/>
      <c r="H750" s="208"/>
      <c r="I750" s="208"/>
      <c r="J750" s="208"/>
      <c r="K750" s="208"/>
      <c r="L750" s="208"/>
      <c r="M750" s="208"/>
      <c r="N750" s="208"/>
      <c r="O750" s="208"/>
      <c r="P750" s="208"/>
      <c r="Q750" s="208"/>
      <c r="R750" s="208"/>
      <c r="S750" s="208"/>
      <c r="T750" s="208"/>
      <c r="U750" s="208"/>
      <c r="V750" s="208"/>
      <c r="W750" s="208"/>
      <c r="X750" s="208"/>
      <c r="Y750" s="208"/>
      <c r="Z750" s="208"/>
    </row>
    <row r="751" ht="12.0" customHeight="1">
      <c r="A751" s="208"/>
      <c r="B751" s="208"/>
      <c r="C751" s="208"/>
      <c r="D751" s="208"/>
      <c r="E751" s="208"/>
      <c r="F751" s="208"/>
      <c r="G751" s="208"/>
      <c r="H751" s="208"/>
      <c r="I751" s="208"/>
      <c r="J751" s="208"/>
      <c r="K751" s="208"/>
      <c r="L751" s="208"/>
      <c r="M751" s="208"/>
      <c r="N751" s="208"/>
      <c r="O751" s="208"/>
      <c r="P751" s="208"/>
      <c r="Q751" s="208"/>
      <c r="R751" s="208"/>
      <c r="S751" s="208"/>
      <c r="T751" s="208"/>
      <c r="U751" s="208"/>
      <c r="V751" s="208"/>
      <c r="W751" s="208"/>
      <c r="X751" s="208"/>
      <c r="Y751" s="208"/>
      <c r="Z751" s="208"/>
    </row>
    <row r="752" ht="12.0" customHeight="1">
      <c r="A752" s="208"/>
      <c r="B752" s="208"/>
      <c r="C752" s="208"/>
      <c r="D752" s="208"/>
      <c r="E752" s="208"/>
      <c r="F752" s="208"/>
      <c r="G752" s="208"/>
      <c r="H752" s="208"/>
      <c r="I752" s="208"/>
      <c r="J752" s="208"/>
      <c r="K752" s="208"/>
      <c r="L752" s="208"/>
      <c r="M752" s="208"/>
      <c r="N752" s="208"/>
      <c r="O752" s="208"/>
      <c r="P752" s="208"/>
      <c r="Q752" s="208"/>
      <c r="R752" s="208"/>
      <c r="S752" s="208"/>
      <c r="T752" s="208"/>
      <c r="U752" s="208"/>
      <c r="V752" s="208"/>
      <c r="W752" s="208"/>
      <c r="X752" s="208"/>
      <c r="Y752" s="208"/>
      <c r="Z752" s="208"/>
    </row>
    <row r="753" ht="12.0" customHeight="1">
      <c r="A753" s="208"/>
      <c r="B753" s="208"/>
      <c r="C753" s="208"/>
      <c r="D753" s="208"/>
      <c r="E753" s="208"/>
      <c r="F753" s="208"/>
      <c r="G753" s="208"/>
      <c r="H753" s="208"/>
      <c r="I753" s="208"/>
      <c r="J753" s="208"/>
      <c r="K753" s="208"/>
      <c r="L753" s="208"/>
      <c r="M753" s="208"/>
      <c r="N753" s="208"/>
      <c r="O753" s="208"/>
      <c r="P753" s="208"/>
      <c r="Q753" s="208"/>
      <c r="R753" s="208"/>
      <c r="S753" s="208"/>
      <c r="T753" s="208"/>
      <c r="U753" s="208"/>
      <c r="V753" s="208"/>
      <c r="W753" s="208"/>
      <c r="X753" s="208"/>
      <c r="Y753" s="208"/>
      <c r="Z753" s="208"/>
    </row>
    <row r="754" ht="12.0" customHeight="1">
      <c r="A754" s="208"/>
      <c r="B754" s="208"/>
      <c r="C754" s="208"/>
      <c r="D754" s="208"/>
      <c r="E754" s="208"/>
      <c r="F754" s="208"/>
      <c r="G754" s="208"/>
      <c r="H754" s="208"/>
      <c r="I754" s="208"/>
      <c r="J754" s="208"/>
      <c r="K754" s="208"/>
      <c r="L754" s="208"/>
      <c r="M754" s="208"/>
      <c r="N754" s="208"/>
      <c r="O754" s="208"/>
      <c r="P754" s="208"/>
      <c r="Q754" s="208"/>
      <c r="R754" s="208"/>
      <c r="S754" s="208"/>
      <c r="T754" s="208"/>
      <c r="U754" s="208"/>
      <c r="V754" s="208"/>
      <c r="W754" s="208"/>
      <c r="X754" s="208"/>
      <c r="Y754" s="208"/>
      <c r="Z754" s="208"/>
    </row>
    <row r="755" ht="12.0" customHeight="1">
      <c r="A755" s="208"/>
      <c r="B755" s="208"/>
      <c r="C755" s="208"/>
      <c r="D755" s="208"/>
      <c r="E755" s="208"/>
      <c r="F755" s="208"/>
      <c r="G755" s="208"/>
      <c r="H755" s="208"/>
      <c r="I755" s="208"/>
      <c r="J755" s="208"/>
      <c r="K755" s="208"/>
      <c r="L755" s="208"/>
      <c r="M755" s="208"/>
      <c r="N755" s="208"/>
      <c r="O755" s="208"/>
      <c r="P755" s="208"/>
      <c r="Q755" s="208"/>
      <c r="R755" s="208"/>
      <c r="S755" s="208"/>
      <c r="T755" s="208"/>
      <c r="U755" s="208"/>
      <c r="V755" s="208"/>
      <c r="W755" s="208"/>
      <c r="X755" s="208"/>
      <c r="Y755" s="208"/>
      <c r="Z755" s="208"/>
    </row>
    <row r="756" ht="12.0" customHeight="1">
      <c r="A756" s="208"/>
      <c r="B756" s="208"/>
      <c r="C756" s="208"/>
      <c r="D756" s="208"/>
      <c r="E756" s="208"/>
      <c r="F756" s="208"/>
      <c r="G756" s="208"/>
      <c r="H756" s="208"/>
      <c r="I756" s="208"/>
      <c r="J756" s="208"/>
      <c r="K756" s="208"/>
      <c r="L756" s="208"/>
      <c r="M756" s="208"/>
      <c r="N756" s="208"/>
      <c r="O756" s="208"/>
      <c r="P756" s="208"/>
      <c r="Q756" s="208"/>
      <c r="R756" s="208"/>
      <c r="S756" s="208"/>
      <c r="T756" s="208"/>
      <c r="U756" s="208"/>
      <c r="V756" s="208"/>
      <c r="W756" s="208"/>
      <c r="X756" s="208"/>
      <c r="Y756" s="208"/>
      <c r="Z756" s="208"/>
    </row>
    <row r="757" ht="12.0" customHeight="1">
      <c r="A757" s="208"/>
      <c r="B757" s="208"/>
      <c r="C757" s="208"/>
      <c r="D757" s="208"/>
      <c r="E757" s="208"/>
      <c r="F757" s="208"/>
      <c r="G757" s="208"/>
      <c r="H757" s="208"/>
      <c r="I757" s="208"/>
      <c r="J757" s="208"/>
      <c r="K757" s="208"/>
      <c r="L757" s="208"/>
      <c r="M757" s="208"/>
      <c r="N757" s="208"/>
      <c r="O757" s="208"/>
      <c r="P757" s="208"/>
      <c r="Q757" s="208"/>
      <c r="R757" s="208"/>
      <c r="S757" s="208"/>
      <c r="T757" s="208"/>
      <c r="U757" s="208"/>
      <c r="V757" s="208"/>
      <c r="W757" s="208"/>
      <c r="X757" s="208"/>
      <c r="Y757" s="208"/>
      <c r="Z757" s="208"/>
    </row>
    <row r="758" ht="12.0" customHeight="1">
      <c r="A758" s="208"/>
      <c r="B758" s="208"/>
      <c r="C758" s="208"/>
      <c r="D758" s="208"/>
      <c r="E758" s="208"/>
      <c r="F758" s="208"/>
      <c r="G758" s="208"/>
      <c r="H758" s="208"/>
      <c r="I758" s="208"/>
      <c r="J758" s="208"/>
      <c r="K758" s="208"/>
      <c r="L758" s="208"/>
      <c r="M758" s="208"/>
      <c r="N758" s="208"/>
      <c r="O758" s="208"/>
      <c r="P758" s="208"/>
      <c r="Q758" s="208"/>
      <c r="R758" s="208"/>
      <c r="S758" s="208"/>
      <c r="T758" s="208"/>
      <c r="U758" s="208"/>
      <c r="V758" s="208"/>
      <c r="W758" s="208"/>
      <c r="X758" s="208"/>
      <c r="Y758" s="208"/>
      <c r="Z758" s="208"/>
    </row>
    <row r="759" ht="12.0" customHeight="1">
      <c r="A759" s="208"/>
      <c r="B759" s="208"/>
      <c r="C759" s="208"/>
      <c r="D759" s="208"/>
      <c r="E759" s="208"/>
      <c r="F759" s="208"/>
      <c r="G759" s="208"/>
      <c r="H759" s="208"/>
      <c r="I759" s="208"/>
      <c r="J759" s="208"/>
      <c r="K759" s="208"/>
      <c r="L759" s="208"/>
      <c r="M759" s="208"/>
      <c r="N759" s="208"/>
      <c r="O759" s="208"/>
      <c r="P759" s="208"/>
      <c r="Q759" s="208"/>
      <c r="R759" s="208"/>
      <c r="S759" s="208"/>
      <c r="T759" s="208"/>
      <c r="U759" s="208"/>
      <c r="V759" s="208"/>
      <c r="W759" s="208"/>
      <c r="X759" s="208"/>
      <c r="Y759" s="208"/>
      <c r="Z759" s="208"/>
    </row>
    <row r="760" ht="12.0" customHeight="1">
      <c r="A760" s="208"/>
      <c r="B760" s="208"/>
      <c r="C760" s="208"/>
      <c r="D760" s="208"/>
      <c r="E760" s="208"/>
      <c r="F760" s="208"/>
      <c r="G760" s="208"/>
      <c r="H760" s="208"/>
      <c r="I760" s="208"/>
      <c r="J760" s="208"/>
      <c r="K760" s="208"/>
      <c r="L760" s="208"/>
      <c r="M760" s="208"/>
      <c r="N760" s="208"/>
      <c r="O760" s="208"/>
      <c r="P760" s="208"/>
      <c r="Q760" s="208"/>
      <c r="R760" s="208"/>
      <c r="S760" s="208"/>
      <c r="T760" s="208"/>
      <c r="U760" s="208"/>
      <c r="V760" s="208"/>
      <c r="W760" s="208"/>
      <c r="X760" s="208"/>
      <c r="Y760" s="208"/>
      <c r="Z760" s="208"/>
    </row>
    <row r="761" ht="12.0" customHeight="1">
      <c r="A761" s="208"/>
      <c r="B761" s="208"/>
      <c r="C761" s="208"/>
      <c r="D761" s="208"/>
      <c r="E761" s="208"/>
      <c r="F761" s="208"/>
      <c r="G761" s="208"/>
      <c r="H761" s="208"/>
      <c r="I761" s="208"/>
      <c r="J761" s="208"/>
      <c r="K761" s="208"/>
      <c r="L761" s="208"/>
      <c r="M761" s="208"/>
      <c r="N761" s="208"/>
      <c r="O761" s="208"/>
      <c r="P761" s="208"/>
      <c r="Q761" s="208"/>
      <c r="R761" s="208"/>
      <c r="S761" s="208"/>
      <c r="T761" s="208"/>
      <c r="U761" s="208"/>
      <c r="V761" s="208"/>
      <c r="W761" s="208"/>
      <c r="X761" s="208"/>
      <c r="Y761" s="208"/>
      <c r="Z761" s="208"/>
    </row>
    <row r="762" ht="12.0" customHeight="1">
      <c r="A762" s="208"/>
      <c r="B762" s="208"/>
      <c r="C762" s="208"/>
      <c r="D762" s="208"/>
      <c r="E762" s="208"/>
      <c r="F762" s="208"/>
      <c r="G762" s="208"/>
      <c r="H762" s="208"/>
      <c r="I762" s="208"/>
      <c r="J762" s="208"/>
      <c r="K762" s="208"/>
      <c r="L762" s="208"/>
      <c r="M762" s="208"/>
      <c r="N762" s="208"/>
      <c r="O762" s="208"/>
      <c r="P762" s="208"/>
      <c r="Q762" s="208"/>
      <c r="R762" s="208"/>
      <c r="S762" s="208"/>
      <c r="T762" s="208"/>
      <c r="U762" s="208"/>
      <c r="V762" s="208"/>
      <c r="W762" s="208"/>
      <c r="X762" s="208"/>
      <c r="Y762" s="208"/>
      <c r="Z762" s="208"/>
    </row>
    <row r="763" ht="12.0" customHeight="1">
      <c r="A763" s="208"/>
      <c r="B763" s="208"/>
      <c r="C763" s="208"/>
      <c r="D763" s="208"/>
      <c r="E763" s="208"/>
      <c r="F763" s="208"/>
      <c r="G763" s="208"/>
      <c r="H763" s="208"/>
      <c r="I763" s="208"/>
      <c r="J763" s="208"/>
      <c r="K763" s="208"/>
      <c r="L763" s="208"/>
      <c r="M763" s="208"/>
      <c r="N763" s="208"/>
      <c r="O763" s="208"/>
      <c r="P763" s="208"/>
      <c r="Q763" s="208"/>
      <c r="R763" s="208"/>
      <c r="S763" s="208"/>
      <c r="T763" s="208"/>
      <c r="U763" s="208"/>
      <c r="V763" s="208"/>
      <c r="W763" s="208"/>
      <c r="X763" s="208"/>
      <c r="Y763" s="208"/>
      <c r="Z763" s="208"/>
    </row>
    <row r="764" ht="12.0" customHeight="1">
      <c r="A764" s="208"/>
      <c r="B764" s="208"/>
      <c r="C764" s="208"/>
      <c r="D764" s="208"/>
      <c r="E764" s="208"/>
      <c r="F764" s="208"/>
      <c r="G764" s="208"/>
      <c r="H764" s="208"/>
      <c r="I764" s="208"/>
      <c r="J764" s="208"/>
      <c r="K764" s="208"/>
      <c r="L764" s="208"/>
      <c r="M764" s="208"/>
      <c r="N764" s="208"/>
      <c r="O764" s="208"/>
      <c r="P764" s="208"/>
      <c r="Q764" s="208"/>
      <c r="R764" s="208"/>
      <c r="S764" s="208"/>
      <c r="T764" s="208"/>
      <c r="U764" s="208"/>
      <c r="V764" s="208"/>
      <c r="W764" s="208"/>
      <c r="X764" s="208"/>
      <c r="Y764" s="208"/>
      <c r="Z764" s="208"/>
    </row>
    <row r="765" ht="12.0" customHeight="1">
      <c r="A765" s="208"/>
      <c r="B765" s="208"/>
      <c r="C765" s="208"/>
      <c r="D765" s="208"/>
      <c r="E765" s="208"/>
      <c r="F765" s="208"/>
      <c r="G765" s="208"/>
      <c r="H765" s="208"/>
      <c r="I765" s="208"/>
      <c r="J765" s="208"/>
      <c r="K765" s="208"/>
      <c r="L765" s="208"/>
      <c r="M765" s="208"/>
      <c r="N765" s="208"/>
      <c r="O765" s="208"/>
      <c r="P765" s="208"/>
      <c r="Q765" s="208"/>
      <c r="R765" s="208"/>
      <c r="S765" s="208"/>
      <c r="T765" s="208"/>
      <c r="U765" s="208"/>
      <c r="V765" s="208"/>
      <c r="W765" s="208"/>
      <c r="X765" s="208"/>
      <c r="Y765" s="208"/>
      <c r="Z765" s="208"/>
    </row>
    <row r="766" ht="12.0" customHeight="1">
      <c r="A766" s="208"/>
      <c r="B766" s="208"/>
      <c r="C766" s="208"/>
      <c r="D766" s="208"/>
      <c r="E766" s="208"/>
      <c r="F766" s="208"/>
      <c r="G766" s="208"/>
      <c r="H766" s="208"/>
      <c r="I766" s="208"/>
      <c r="J766" s="208"/>
      <c r="K766" s="208"/>
      <c r="L766" s="208"/>
      <c r="M766" s="208"/>
      <c r="N766" s="208"/>
      <c r="O766" s="208"/>
      <c r="P766" s="208"/>
      <c r="Q766" s="208"/>
      <c r="R766" s="208"/>
      <c r="S766" s="208"/>
      <c r="T766" s="208"/>
      <c r="U766" s="208"/>
      <c r="V766" s="208"/>
      <c r="W766" s="208"/>
      <c r="X766" s="208"/>
      <c r="Y766" s="208"/>
      <c r="Z766" s="208"/>
    </row>
    <row r="767" ht="12.0" customHeight="1">
      <c r="A767" s="208"/>
      <c r="B767" s="208"/>
      <c r="C767" s="208"/>
      <c r="D767" s="208"/>
      <c r="E767" s="208"/>
      <c r="F767" s="208"/>
      <c r="G767" s="208"/>
      <c r="H767" s="208"/>
      <c r="I767" s="208"/>
      <c r="J767" s="208"/>
      <c r="K767" s="208"/>
      <c r="L767" s="208"/>
      <c r="M767" s="208"/>
      <c r="N767" s="208"/>
      <c r="O767" s="208"/>
      <c r="P767" s="208"/>
      <c r="Q767" s="208"/>
      <c r="R767" s="208"/>
      <c r="S767" s="208"/>
      <c r="T767" s="208"/>
      <c r="U767" s="208"/>
      <c r="V767" s="208"/>
      <c r="W767" s="208"/>
      <c r="X767" s="208"/>
      <c r="Y767" s="208"/>
      <c r="Z767" s="208"/>
    </row>
    <row r="768" ht="12.0" customHeight="1">
      <c r="A768" s="208"/>
      <c r="B768" s="208"/>
      <c r="C768" s="208"/>
      <c r="D768" s="208"/>
      <c r="E768" s="208"/>
      <c r="F768" s="208"/>
      <c r="G768" s="208"/>
      <c r="H768" s="208"/>
      <c r="I768" s="208"/>
      <c r="J768" s="208"/>
      <c r="K768" s="208"/>
      <c r="L768" s="208"/>
      <c r="M768" s="208"/>
      <c r="N768" s="208"/>
      <c r="O768" s="208"/>
      <c r="P768" s="208"/>
      <c r="Q768" s="208"/>
      <c r="R768" s="208"/>
      <c r="S768" s="208"/>
      <c r="T768" s="208"/>
      <c r="U768" s="208"/>
      <c r="V768" s="208"/>
      <c r="W768" s="208"/>
      <c r="X768" s="208"/>
      <c r="Y768" s="208"/>
      <c r="Z768" s="208"/>
    </row>
    <row r="769" ht="12.0" customHeight="1">
      <c r="A769" s="208"/>
      <c r="B769" s="208"/>
      <c r="C769" s="208"/>
      <c r="D769" s="208"/>
      <c r="E769" s="208"/>
      <c r="F769" s="208"/>
      <c r="G769" s="208"/>
      <c r="H769" s="208"/>
      <c r="I769" s="208"/>
      <c r="J769" s="208"/>
      <c r="K769" s="208"/>
      <c r="L769" s="208"/>
      <c r="M769" s="208"/>
      <c r="N769" s="208"/>
      <c r="O769" s="208"/>
      <c r="P769" s="208"/>
      <c r="Q769" s="208"/>
      <c r="R769" s="208"/>
      <c r="S769" s="208"/>
      <c r="T769" s="208"/>
      <c r="U769" s="208"/>
      <c r="V769" s="208"/>
      <c r="W769" s="208"/>
      <c r="X769" s="208"/>
      <c r="Y769" s="208"/>
      <c r="Z769" s="208"/>
    </row>
    <row r="770" ht="12.0" customHeight="1">
      <c r="A770" s="208"/>
      <c r="B770" s="208"/>
      <c r="C770" s="208"/>
      <c r="D770" s="208"/>
      <c r="E770" s="208"/>
      <c r="F770" s="208"/>
      <c r="G770" s="208"/>
      <c r="H770" s="208"/>
      <c r="I770" s="208"/>
      <c r="J770" s="208"/>
      <c r="K770" s="208"/>
      <c r="L770" s="208"/>
      <c r="M770" s="208"/>
      <c r="N770" s="208"/>
      <c r="O770" s="208"/>
      <c r="P770" s="208"/>
      <c r="Q770" s="208"/>
      <c r="R770" s="208"/>
      <c r="S770" s="208"/>
      <c r="T770" s="208"/>
      <c r="U770" s="208"/>
      <c r="V770" s="208"/>
      <c r="W770" s="208"/>
      <c r="X770" s="208"/>
      <c r="Y770" s="208"/>
      <c r="Z770" s="208"/>
    </row>
    <row r="771" ht="12.0" customHeight="1">
      <c r="A771" s="208"/>
      <c r="B771" s="208"/>
      <c r="C771" s="208"/>
      <c r="D771" s="208"/>
      <c r="E771" s="208"/>
      <c r="F771" s="208"/>
      <c r="G771" s="208"/>
      <c r="H771" s="208"/>
      <c r="I771" s="208"/>
      <c r="J771" s="208"/>
      <c r="K771" s="208"/>
      <c r="L771" s="208"/>
      <c r="M771" s="208"/>
      <c r="N771" s="208"/>
      <c r="O771" s="208"/>
      <c r="P771" s="208"/>
      <c r="Q771" s="208"/>
      <c r="R771" s="208"/>
      <c r="S771" s="208"/>
      <c r="T771" s="208"/>
      <c r="U771" s="208"/>
      <c r="V771" s="208"/>
      <c r="W771" s="208"/>
      <c r="X771" s="208"/>
      <c r="Y771" s="208"/>
      <c r="Z771" s="208"/>
    </row>
    <row r="772" ht="12.0" customHeight="1">
      <c r="A772" s="208"/>
      <c r="B772" s="208"/>
      <c r="C772" s="208"/>
      <c r="D772" s="208"/>
      <c r="E772" s="208"/>
      <c r="F772" s="208"/>
      <c r="G772" s="208"/>
      <c r="H772" s="208"/>
      <c r="I772" s="208"/>
      <c r="J772" s="208"/>
      <c r="K772" s="208"/>
      <c r="L772" s="208"/>
      <c r="M772" s="208"/>
      <c r="N772" s="208"/>
      <c r="O772" s="208"/>
      <c r="P772" s="208"/>
      <c r="Q772" s="208"/>
      <c r="R772" s="208"/>
      <c r="S772" s="208"/>
      <c r="T772" s="208"/>
      <c r="U772" s="208"/>
      <c r="V772" s="208"/>
      <c r="W772" s="208"/>
      <c r="X772" s="208"/>
      <c r="Y772" s="208"/>
      <c r="Z772" s="208"/>
    </row>
    <row r="773" ht="12.0" customHeight="1">
      <c r="A773" s="208"/>
      <c r="B773" s="208"/>
      <c r="C773" s="208"/>
      <c r="D773" s="208"/>
      <c r="E773" s="208"/>
      <c r="F773" s="208"/>
      <c r="G773" s="208"/>
      <c r="H773" s="208"/>
      <c r="I773" s="208"/>
      <c r="J773" s="208"/>
      <c r="K773" s="208"/>
      <c r="L773" s="208"/>
      <c r="M773" s="208"/>
      <c r="N773" s="208"/>
      <c r="O773" s="208"/>
      <c r="P773" s="208"/>
      <c r="Q773" s="208"/>
      <c r="R773" s="208"/>
      <c r="S773" s="208"/>
      <c r="T773" s="208"/>
      <c r="U773" s="208"/>
      <c r="V773" s="208"/>
      <c r="W773" s="208"/>
      <c r="X773" s="208"/>
      <c r="Y773" s="208"/>
      <c r="Z773" s="208"/>
    </row>
    <row r="774" ht="12.0" customHeight="1">
      <c r="A774" s="208"/>
      <c r="B774" s="208"/>
      <c r="C774" s="208"/>
      <c r="D774" s="208"/>
      <c r="E774" s="208"/>
      <c r="F774" s="208"/>
      <c r="G774" s="208"/>
      <c r="H774" s="208"/>
      <c r="I774" s="208"/>
      <c r="J774" s="208"/>
      <c r="K774" s="208"/>
      <c r="L774" s="208"/>
      <c r="M774" s="208"/>
      <c r="N774" s="208"/>
      <c r="O774" s="208"/>
      <c r="P774" s="208"/>
      <c r="Q774" s="208"/>
      <c r="R774" s="208"/>
      <c r="S774" s="208"/>
      <c r="T774" s="208"/>
      <c r="U774" s="208"/>
      <c r="V774" s="208"/>
      <c r="W774" s="208"/>
      <c r="X774" s="208"/>
      <c r="Y774" s="208"/>
      <c r="Z774" s="208"/>
    </row>
    <row r="775" ht="12.0" customHeight="1">
      <c r="A775" s="208"/>
      <c r="B775" s="208"/>
      <c r="C775" s="208"/>
      <c r="D775" s="208"/>
      <c r="E775" s="208"/>
      <c r="F775" s="208"/>
      <c r="G775" s="208"/>
      <c r="H775" s="208"/>
      <c r="I775" s="208"/>
      <c r="J775" s="208"/>
      <c r="K775" s="208"/>
      <c r="L775" s="208"/>
      <c r="M775" s="208"/>
      <c r="N775" s="208"/>
      <c r="O775" s="208"/>
      <c r="P775" s="208"/>
      <c r="Q775" s="208"/>
      <c r="R775" s="208"/>
      <c r="S775" s="208"/>
      <c r="T775" s="208"/>
      <c r="U775" s="208"/>
      <c r="V775" s="208"/>
      <c r="W775" s="208"/>
      <c r="X775" s="208"/>
      <c r="Y775" s="208"/>
      <c r="Z775" s="208"/>
    </row>
    <row r="776" ht="12.0" customHeight="1">
      <c r="A776" s="208"/>
      <c r="B776" s="208"/>
      <c r="C776" s="208"/>
      <c r="D776" s="208"/>
      <c r="E776" s="208"/>
      <c r="F776" s="208"/>
      <c r="G776" s="208"/>
      <c r="H776" s="208"/>
      <c r="I776" s="208"/>
      <c r="J776" s="208"/>
      <c r="K776" s="208"/>
      <c r="L776" s="208"/>
      <c r="M776" s="208"/>
      <c r="N776" s="208"/>
      <c r="O776" s="208"/>
      <c r="P776" s="208"/>
      <c r="Q776" s="208"/>
      <c r="R776" s="208"/>
      <c r="S776" s="208"/>
      <c r="T776" s="208"/>
      <c r="U776" s="208"/>
      <c r="V776" s="208"/>
      <c r="W776" s="208"/>
      <c r="X776" s="208"/>
      <c r="Y776" s="208"/>
      <c r="Z776" s="208"/>
    </row>
    <row r="777" ht="12.0" customHeight="1">
      <c r="A777" s="208"/>
      <c r="B777" s="208"/>
      <c r="C777" s="208"/>
      <c r="D777" s="208"/>
      <c r="E777" s="208"/>
      <c r="F777" s="208"/>
      <c r="G777" s="208"/>
      <c r="H777" s="208"/>
      <c r="I777" s="208"/>
      <c r="J777" s="208"/>
      <c r="K777" s="208"/>
      <c r="L777" s="208"/>
      <c r="M777" s="208"/>
      <c r="N777" s="208"/>
      <c r="O777" s="208"/>
      <c r="P777" s="208"/>
      <c r="Q777" s="208"/>
      <c r="R777" s="208"/>
      <c r="S777" s="208"/>
      <c r="T777" s="208"/>
      <c r="U777" s="208"/>
      <c r="V777" s="208"/>
      <c r="W777" s="208"/>
      <c r="X777" s="208"/>
      <c r="Y777" s="208"/>
      <c r="Z777" s="208"/>
    </row>
    <row r="778" ht="12.0" customHeight="1">
      <c r="A778" s="208"/>
      <c r="B778" s="208"/>
      <c r="C778" s="208"/>
      <c r="D778" s="208"/>
      <c r="E778" s="208"/>
      <c r="F778" s="208"/>
      <c r="G778" s="208"/>
      <c r="H778" s="208"/>
      <c r="I778" s="208"/>
      <c r="J778" s="208"/>
      <c r="K778" s="208"/>
      <c r="L778" s="208"/>
      <c r="M778" s="208"/>
      <c r="N778" s="208"/>
      <c r="O778" s="208"/>
      <c r="P778" s="208"/>
      <c r="Q778" s="208"/>
      <c r="R778" s="208"/>
      <c r="S778" s="208"/>
      <c r="T778" s="208"/>
      <c r="U778" s="208"/>
      <c r="V778" s="208"/>
      <c r="W778" s="208"/>
      <c r="X778" s="208"/>
      <c r="Y778" s="208"/>
      <c r="Z778" s="208"/>
    </row>
    <row r="779" ht="12.0" customHeight="1">
      <c r="A779" s="208"/>
      <c r="B779" s="208"/>
      <c r="C779" s="208"/>
      <c r="D779" s="208"/>
      <c r="E779" s="208"/>
      <c r="F779" s="208"/>
      <c r="G779" s="208"/>
      <c r="H779" s="208"/>
      <c r="I779" s="208"/>
      <c r="J779" s="208"/>
      <c r="K779" s="208"/>
      <c r="L779" s="208"/>
      <c r="M779" s="208"/>
      <c r="N779" s="208"/>
      <c r="O779" s="208"/>
      <c r="P779" s="208"/>
      <c r="Q779" s="208"/>
      <c r="R779" s="208"/>
      <c r="S779" s="208"/>
      <c r="T779" s="208"/>
      <c r="U779" s="208"/>
      <c r="V779" s="208"/>
      <c r="W779" s="208"/>
      <c r="X779" s="208"/>
      <c r="Y779" s="208"/>
      <c r="Z779" s="208"/>
    </row>
    <row r="780" ht="12.0" customHeight="1">
      <c r="A780" s="208"/>
      <c r="B780" s="208"/>
      <c r="C780" s="208"/>
      <c r="D780" s="208"/>
      <c r="E780" s="208"/>
      <c r="F780" s="208"/>
      <c r="G780" s="208"/>
      <c r="H780" s="208"/>
      <c r="I780" s="208"/>
      <c r="J780" s="208"/>
      <c r="K780" s="208"/>
      <c r="L780" s="208"/>
      <c r="M780" s="208"/>
      <c r="N780" s="208"/>
      <c r="O780" s="208"/>
      <c r="P780" s="208"/>
      <c r="Q780" s="208"/>
      <c r="R780" s="208"/>
      <c r="S780" s="208"/>
      <c r="T780" s="208"/>
      <c r="U780" s="208"/>
      <c r="V780" s="208"/>
      <c r="W780" s="208"/>
      <c r="X780" s="208"/>
      <c r="Y780" s="208"/>
      <c r="Z780" s="208"/>
    </row>
    <row r="781" ht="12.0" customHeight="1">
      <c r="A781" s="208"/>
      <c r="B781" s="208"/>
      <c r="C781" s="208"/>
      <c r="D781" s="208"/>
      <c r="E781" s="208"/>
      <c r="F781" s="208"/>
      <c r="G781" s="208"/>
      <c r="H781" s="208"/>
      <c r="I781" s="208"/>
      <c r="J781" s="208"/>
      <c r="K781" s="208"/>
      <c r="L781" s="208"/>
      <c r="M781" s="208"/>
      <c r="N781" s="208"/>
      <c r="O781" s="208"/>
      <c r="P781" s="208"/>
      <c r="Q781" s="208"/>
      <c r="R781" s="208"/>
      <c r="S781" s="208"/>
      <c r="T781" s="208"/>
      <c r="U781" s="208"/>
      <c r="V781" s="208"/>
      <c r="W781" s="208"/>
      <c r="X781" s="208"/>
      <c r="Y781" s="208"/>
      <c r="Z781" s="208"/>
    </row>
    <row r="782" ht="12.0" customHeight="1">
      <c r="A782" s="208"/>
      <c r="B782" s="208"/>
      <c r="C782" s="208"/>
      <c r="D782" s="208"/>
      <c r="E782" s="208"/>
      <c r="F782" s="208"/>
      <c r="G782" s="208"/>
      <c r="H782" s="208"/>
      <c r="I782" s="208"/>
      <c r="J782" s="208"/>
      <c r="K782" s="208"/>
      <c r="L782" s="208"/>
      <c r="M782" s="208"/>
      <c r="N782" s="208"/>
      <c r="O782" s="208"/>
      <c r="P782" s="208"/>
      <c r="Q782" s="208"/>
      <c r="R782" s="208"/>
      <c r="S782" s="208"/>
      <c r="T782" s="208"/>
      <c r="U782" s="208"/>
      <c r="V782" s="208"/>
      <c r="W782" s="208"/>
      <c r="X782" s="208"/>
      <c r="Y782" s="208"/>
      <c r="Z782" s="208"/>
    </row>
    <row r="783" ht="12.0" customHeight="1">
      <c r="A783" s="208"/>
      <c r="B783" s="208"/>
      <c r="C783" s="208"/>
      <c r="D783" s="208"/>
      <c r="E783" s="208"/>
      <c r="F783" s="208"/>
      <c r="G783" s="208"/>
      <c r="H783" s="208"/>
      <c r="I783" s="208"/>
      <c r="J783" s="208"/>
      <c r="K783" s="208"/>
      <c r="L783" s="208"/>
      <c r="M783" s="208"/>
      <c r="N783" s="208"/>
      <c r="O783" s="208"/>
      <c r="P783" s="208"/>
      <c r="Q783" s="208"/>
      <c r="R783" s="208"/>
      <c r="S783" s="208"/>
      <c r="T783" s="208"/>
      <c r="U783" s="208"/>
      <c r="V783" s="208"/>
      <c r="W783" s="208"/>
      <c r="X783" s="208"/>
      <c r="Y783" s="208"/>
      <c r="Z783" s="208"/>
    </row>
    <row r="784" ht="12.0" customHeight="1">
      <c r="A784" s="208"/>
      <c r="B784" s="208"/>
      <c r="C784" s="208"/>
      <c r="D784" s="208"/>
      <c r="E784" s="208"/>
      <c r="F784" s="208"/>
      <c r="G784" s="208"/>
      <c r="H784" s="208"/>
      <c r="I784" s="208"/>
      <c r="J784" s="208"/>
      <c r="K784" s="208"/>
      <c r="L784" s="208"/>
      <c r="M784" s="208"/>
      <c r="N784" s="208"/>
      <c r="O784" s="208"/>
      <c r="P784" s="208"/>
      <c r="Q784" s="208"/>
      <c r="R784" s="208"/>
      <c r="S784" s="208"/>
      <c r="T784" s="208"/>
      <c r="U784" s="208"/>
      <c r="V784" s="208"/>
      <c r="W784" s="208"/>
      <c r="X784" s="208"/>
      <c r="Y784" s="208"/>
      <c r="Z784" s="208"/>
    </row>
    <row r="785" ht="12.0" customHeight="1">
      <c r="A785" s="208"/>
      <c r="B785" s="208"/>
      <c r="C785" s="208"/>
      <c r="D785" s="208"/>
      <c r="E785" s="208"/>
      <c r="F785" s="208"/>
      <c r="G785" s="208"/>
      <c r="H785" s="208"/>
      <c r="I785" s="208"/>
      <c r="J785" s="208"/>
      <c r="K785" s="208"/>
      <c r="L785" s="208"/>
      <c r="M785" s="208"/>
      <c r="N785" s="208"/>
      <c r="O785" s="208"/>
      <c r="P785" s="208"/>
      <c r="Q785" s="208"/>
      <c r="R785" s="208"/>
      <c r="S785" s="208"/>
      <c r="T785" s="208"/>
      <c r="U785" s="208"/>
      <c r="V785" s="208"/>
      <c r="W785" s="208"/>
      <c r="X785" s="208"/>
      <c r="Y785" s="208"/>
      <c r="Z785" s="208"/>
    </row>
    <row r="786" ht="12.0" customHeight="1">
      <c r="A786" s="208"/>
      <c r="B786" s="208"/>
      <c r="C786" s="208"/>
      <c r="D786" s="208"/>
      <c r="E786" s="208"/>
      <c r="F786" s="208"/>
      <c r="G786" s="208"/>
      <c r="H786" s="208"/>
      <c r="I786" s="208"/>
      <c r="J786" s="208"/>
      <c r="K786" s="208"/>
      <c r="L786" s="208"/>
      <c r="M786" s="208"/>
      <c r="N786" s="208"/>
      <c r="O786" s="208"/>
      <c r="P786" s="208"/>
      <c r="Q786" s="208"/>
      <c r="R786" s="208"/>
      <c r="S786" s="208"/>
      <c r="T786" s="208"/>
      <c r="U786" s="208"/>
      <c r="V786" s="208"/>
      <c r="W786" s="208"/>
      <c r="X786" s="208"/>
      <c r="Y786" s="208"/>
      <c r="Z786" s="208"/>
    </row>
    <row r="787" ht="12.0" customHeight="1">
      <c r="A787" s="208"/>
      <c r="B787" s="208"/>
      <c r="C787" s="208"/>
      <c r="D787" s="208"/>
      <c r="E787" s="208"/>
      <c r="F787" s="208"/>
      <c r="G787" s="208"/>
      <c r="H787" s="208"/>
      <c r="I787" s="208"/>
      <c r="J787" s="208"/>
      <c r="K787" s="208"/>
      <c r="L787" s="208"/>
      <c r="M787" s="208"/>
      <c r="N787" s="208"/>
      <c r="O787" s="208"/>
      <c r="P787" s="208"/>
      <c r="Q787" s="208"/>
      <c r="R787" s="208"/>
      <c r="S787" s="208"/>
      <c r="T787" s="208"/>
      <c r="U787" s="208"/>
      <c r="V787" s="208"/>
      <c r="W787" s="208"/>
      <c r="X787" s="208"/>
      <c r="Y787" s="208"/>
      <c r="Z787" s="208"/>
    </row>
    <row r="788" ht="12.0" customHeight="1">
      <c r="A788" s="208"/>
      <c r="B788" s="208"/>
      <c r="C788" s="208"/>
      <c r="D788" s="208"/>
      <c r="E788" s="208"/>
      <c r="F788" s="208"/>
      <c r="G788" s="208"/>
      <c r="H788" s="208"/>
      <c r="I788" s="208"/>
      <c r="J788" s="208"/>
      <c r="K788" s="208"/>
      <c r="L788" s="208"/>
      <c r="M788" s="208"/>
      <c r="N788" s="208"/>
      <c r="O788" s="208"/>
      <c r="P788" s="208"/>
      <c r="Q788" s="208"/>
      <c r="R788" s="208"/>
      <c r="S788" s="208"/>
      <c r="T788" s="208"/>
      <c r="U788" s="208"/>
      <c r="V788" s="208"/>
      <c r="W788" s="208"/>
      <c r="X788" s="208"/>
      <c r="Y788" s="208"/>
      <c r="Z788" s="208"/>
    </row>
    <row r="789" ht="12.0" customHeight="1">
      <c r="A789" s="208"/>
      <c r="B789" s="208"/>
      <c r="C789" s="208"/>
      <c r="D789" s="208"/>
      <c r="E789" s="208"/>
      <c r="F789" s="208"/>
      <c r="G789" s="208"/>
      <c r="H789" s="208"/>
      <c r="I789" s="208"/>
      <c r="J789" s="208"/>
      <c r="K789" s="208"/>
      <c r="L789" s="208"/>
      <c r="M789" s="208"/>
      <c r="N789" s="208"/>
      <c r="O789" s="208"/>
      <c r="P789" s="208"/>
      <c r="Q789" s="208"/>
      <c r="R789" s="208"/>
      <c r="S789" s="208"/>
      <c r="T789" s="208"/>
      <c r="U789" s="208"/>
      <c r="V789" s="208"/>
      <c r="W789" s="208"/>
      <c r="X789" s="208"/>
      <c r="Y789" s="208"/>
      <c r="Z789" s="208"/>
    </row>
    <row r="790" ht="12.0" customHeight="1">
      <c r="A790" s="208"/>
      <c r="B790" s="208"/>
      <c r="C790" s="208"/>
      <c r="D790" s="208"/>
      <c r="E790" s="208"/>
      <c r="F790" s="208"/>
      <c r="G790" s="208"/>
      <c r="H790" s="208"/>
      <c r="I790" s="208"/>
      <c r="J790" s="208"/>
      <c r="K790" s="208"/>
      <c r="L790" s="208"/>
      <c r="M790" s="208"/>
      <c r="N790" s="208"/>
      <c r="O790" s="208"/>
      <c r="P790" s="208"/>
      <c r="Q790" s="208"/>
      <c r="R790" s="208"/>
      <c r="S790" s="208"/>
      <c r="T790" s="208"/>
      <c r="U790" s="208"/>
      <c r="V790" s="208"/>
      <c r="W790" s="208"/>
      <c r="X790" s="208"/>
      <c r="Y790" s="208"/>
      <c r="Z790" s="208"/>
    </row>
    <row r="791" ht="12.0" customHeight="1">
      <c r="A791" s="208"/>
      <c r="B791" s="208"/>
      <c r="C791" s="208"/>
      <c r="D791" s="208"/>
      <c r="E791" s="208"/>
      <c r="F791" s="208"/>
      <c r="G791" s="208"/>
      <c r="H791" s="208"/>
      <c r="I791" s="208"/>
      <c r="J791" s="208"/>
      <c r="K791" s="208"/>
      <c r="L791" s="208"/>
      <c r="M791" s="208"/>
      <c r="N791" s="208"/>
      <c r="O791" s="208"/>
      <c r="P791" s="208"/>
      <c r="Q791" s="208"/>
      <c r="R791" s="208"/>
      <c r="S791" s="208"/>
      <c r="T791" s="208"/>
      <c r="U791" s="208"/>
      <c r="V791" s="208"/>
      <c r="W791" s="208"/>
      <c r="X791" s="208"/>
      <c r="Y791" s="208"/>
      <c r="Z791" s="208"/>
    </row>
    <row r="792" ht="12.0" customHeight="1">
      <c r="A792" s="208"/>
      <c r="B792" s="208"/>
      <c r="C792" s="208"/>
      <c r="D792" s="208"/>
      <c r="E792" s="208"/>
      <c r="F792" s="208"/>
      <c r="G792" s="208"/>
      <c r="H792" s="208"/>
      <c r="I792" s="208"/>
      <c r="J792" s="208"/>
      <c r="K792" s="208"/>
      <c r="L792" s="208"/>
      <c r="M792" s="208"/>
      <c r="N792" s="208"/>
      <c r="O792" s="208"/>
      <c r="P792" s="208"/>
      <c r="Q792" s="208"/>
      <c r="R792" s="208"/>
      <c r="S792" s="208"/>
      <c r="T792" s="208"/>
      <c r="U792" s="208"/>
      <c r="V792" s="208"/>
      <c r="W792" s="208"/>
      <c r="X792" s="208"/>
      <c r="Y792" s="208"/>
      <c r="Z792" s="208"/>
    </row>
    <row r="793" ht="12.0" customHeight="1">
      <c r="A793" s="208"/>
      <c r="B793" s="208"/>
      <c r="C793" s="208"/>
      <c r="D793" s="208"/>
      <c r="E793" s="208"/>
      <c r="F793" s="208"/>
      <c r="G793" s="208"/>
      <c r="H793" s="208"/>
      <c r="I793" s="208"/>
      <c r="J793" s="208"/>
      <c r="K793" s="208"/>
      <c r="L793" s="208"/>
      <c r="M793" s="208"/>
      <c r="N793" s="208"/>
      <c r="O793" s="208"/>
      <c r="P793" s="208"/>
      <c r="Q793" s="208"/>
      <c r="R793" s="208"/>
      <c r="S793" s="208"/>
      <c r="T793" s="208"/>
      <c r="U793" s="208"/>
      <c r="V793" s="208"/>
      <c r="W793" s="208"/>
      <c r="X793" s="208"/>
      <c r="Y793" s="208"/>
      <c r="Z793" s="208"/>
    </row>
    <row r="794" ht="12.0" customHeight="1">
      <c r="A794" s="208"/>
      <c r="B794" s="208"/>
      <c r="C794" s="208"/>
      <c r="D794" s="208"/>
      <c r="E794" s="208"/>
      <c r="F794" s="208"/>
      <c r="G794" s="208"/>
      <c r="H794" s="208"/>
      <c r="I794" s="208"/>
      <c r="J794" s="208"/>
      <c r="K794" s="208"/>
      <c r="L794" s="208"/>
      <c r="M794" s="208"/>
      <c r="N794" s="208"/>
      <c r="O794" s="208"/>
      <c r="P794" s="208"/>
      <c r="Q794" s="208"/>
      <c r="R794" s="208"/>
      <c r="S794" s="208"/>
      <c r="T794" s="208"/>
      <c r="U794" s="208"/>
      <c r="V794" s="208"/>
      <c r="W794" s="208"/>
      <c r="X794" s="208"/>
      <c r="Y794" s="208"/>
      <c r="Z794" s="208"/>
    </row>
    <row r="795" ht="12.0" customHeight="1">
      <c r="A795" s="208"/>
      <c r="B795" s="208"/>
      <c r="C795" s="208"/>
      <c r="D795" s="208"/>
      <c r="E795" s="208"/>
      <c r="F795" s="208"/>
      <c r="G795" s="208"/>
      <c r="H795" s="208"/>
      <c r="I795" s="208"/>
      <c r="J795" s="208"/>
      <c r="K795" s="208"/>
      <c r="L795" s="208"/>
      <c r="M795" s="208"/>
      <c r="N795" s="208"/>
      <c r="O795" s="208"/>
      <c r="P795" s="208"/>
      <c r="Q795" s="208"/>
      <c r="R795" s="208"/>
      <c r="S795" s="208"/>
      <c r="T795" s="208"/>
      <c r="U795" s="208"/>
      <c r="V795" s="208"/>
      <c r="W795" s="208"/>
      <c r="X795" s="208"/>
      <c r="Y795" s="208"/>
      <c r="Z795" s="208"/>
    </row>
    <row r="796" ht="12.0" customHeight="1">
      <c r="A796" s="208"/>
      <c r="B796" s="208"/>
      <c r="C796" s="208"/>
      <c r="D796" s="208"/>
      <c r="E796" s="208"/>
      <c r="F796" s="208"/>
      <c r="G796" s="208"/>
      <c r="H796" s="208"/>
      <c r="I796" s="208"/>
      <c r="J796" s="208"/>
      <c r="K796" s="208"/>
      <c r="L796" s="208"/>
      <c r="M796" s="208"/>
      <c r="N796" s="208"/>
      <c r="O796" s="208"/>
      <c r="P796" s="208"/>
      <c r="Q796" s="208"/>
      <c r="R796" s="208"/>
      <c r="S796" s="208"/>
      <c r="T796" s="208"/>
      <c r="U796" s="208"/>
      <c r="V796" s="208"/>
      <c r="W796" s="208"/>
      <c r="X796" s="208"/>
      <c r="Y796" s="208"/>
      <c r="Z796" s="208"/>
    </row>
    <row r="797" ht="12.0" customHeight="1">
      <c r="A797" s="208"/>
      <c r="B797" s="208"/>
      <c r="C797" s="208"/>
      <c r="D797" s="208"/>
      <c r="E797" s="208"/>
      <c r="F797" s="208"/>
      <c r="G797" s="208"/>
      <c r="H797" s="208"/>
      <c r="I797" s="208"/>
      <c r="J797" s="208"/>
      <c r="K797" s="208"/>
      <c r="L797" s="208"/>
      <c r="M797" s="208"/>
      <c r="N797" s="208"/>
      <c r="O797" s="208"/>
      <c r="P797" s="208"/>
      <c r="Q797" s="208"/>
      <c r="R797" s="208"/>
      <c r="S797" s="208"/>
      <c r="T797" s="208"/>
      <c r="U797" s="208"/>
      <c r="V797" s="208"/>
      <c r="W797" s="208"/>
      <c r="X797" s="208"/>
      <c r="Y797" s="208"/>
      <c r="Z797" s="208"/>
    </row>
    <row r="798" ht="12.0" customHeight="1">
      <c r="A798" s="208"/>
      <c r="B798" s="208"/>
      <c r="C798" s="208"/>
      <c r="D798" s="208"/>
      <c r="E798" s="208"/>
      <c r="F798" s="208"/>
      <c r="G798" s="208"/>
      <c r="H798" s="208"/>
      <c r="I798" s="208"/>
      <c r="J798" s="208"/>
      <c r="K798" s="208"/>
      <c r="L798" s="208"/>
      <c r="M798" s="208"/>
      <c r="N798" s="208"/>
      <c r="O798" s="208"/>
      <c r="P798" s="208"/>
      <c r="Q798" s="208"/>
      <c r="R798" s="208"/>
      <c r="S798" s="208"/>
      <c r="T798" s="208"/>
      <c r="U798" s="208"/>
      <c r="V798" s="208"/>
      <c r="W798" s="208"/>
      <c r="X798" s="208"/>
      <c r="Y798" s="208"/>
      <c r="Z798" s="208"/>
    </row>
    <row r="799" ht="12.0" customHeight="1">
      <c r="A799" s="208"/>
      <c r="B799" s="208"/>
      <c r="C799" s="208"/>
      <c r="D799" s="208"/>
      <c r="E799" s="208"/>
      <c r="F799" s="208"/>
      <c r="G799" s="208"/>
      <c r="H799" s="208"/>
      <c r="I799" s="208"/>
      <c r="J799" s="208"/>
      <c r="K799" s="208"/>
      <c r="L799" s="208"/>
      <c r="M799" s="208"/>
      <c r="N799" s="208"/>
      <c r="O799" s="208"/>
      <c r="P799" s="208"/>
      <c r="Q799" s="208"/>
      <c r="R799" s="208"/>
      <c r="S799" s="208"/>
      <c r="T799" s="208"/>
      <c r="U799" s="208"/>
      <c r="V799" s="208"/>
      <c r="W799" s="208"/>
      <c r="X799" s="208"/>
      <c r="Y799" s="208"/>
      <c r="Z799" s="208"/>
    </row>
    <row r="800" ht="12.0" customHeight="1">
      <c r="A800" s="208"/>
      <c r="B800" s="208"/>
      <c r="C800" s="208"/>
      <c r="D800" s="208"/>
      <c r="E800" s="208"/>
      <c r="F800" s="208"/>
      <c r="G800" s="208"/>
      <c r="H800" s="208"/>
      <c r="I800" s="208"/>
      <c r="J800" s="208"/>
      <c r="K800" s="208"/>
      <c r="L800" s="208"/>
      <c r="M800" s="208"/>
      <c r="N800" s="208"/>
      <c r="O800" s="208"/>
      <c r="P800" s="208"/>
      <c r="Q800" s="208"/>
      <c r="R800" s="208"/>
      <c r="S800" s="208"/>
      <c r="T800" s="208"/>
      <c r="U800" s="208"/>
      <c r="V800" s="208"/>
      <c r="W800" s="208"/>
      <c r="X800" s="208"/>
      <c r="Y800" s="208"/>
      <c r="Z800" s="208"/>
    </row>
    <row r="801" ht="12.0" customHeight="1">
      <c r="A801" s="208"/>
      <c r="B801" s="208"/>
      <c r="C801" s="208"/>
      <c r="D801" s="208"/>
      <c r="E801" s="208"/>
      <c r="F801" s="208"/>
      <c r="G801" s="208"/>
      <c r="H801" s="208"/>
      <c r="I801" s="208"/>
      <c r="J801" s="208"/>
      <c r="K801" s="208"/>
      <c r="L801" s="208"/>
      <c r="M801" s="208"/>
      <c r="N801" s="208"/>
      <c r="O801" s="208"/>
      <c r="P801" s="208"/>
      <c r="Q801" s="208"/>
      <c r="R801" s="208"/>
      <c r="S801" s="208"/>
      <c r="T801" s="208"/>
      <c r="U801" s="208"/>
      <c r="V801" s="208"/>
      <c r="W801" s="208"/>
      <c r="X801" s="208"/>
      <c r="Y801" s="208"/>
      <c r="Z801" s="208"/>
    </row>
    <row r="802" ht="12.0" customHeight="1">
      <c r="A802" s="208"/>
      <c r="B802" s="208"/>
      <c r="C802" s="208"/>
      <c r="D802" s="208"/>
      <c r="E802" s="208"/>
      <c r="F802" s="208"/>
      <c r="G802" s="208"/>
      <c r="H802" s="208"/>
      <c r="I802" s="208"/>
      <c r="J802" s="208"/>
      <c r="K802" s="208"/>
      <c r="L802" s="208"/>
      <c r="M802" s="208"/>
      <c r="N802" s="208"/>
      <c r="O802" s="208"/>
      <c r="P802" s="208"/>
      <c r="Q802" s="208"/>
      <c r="R802" s="208"/>
      <c r="S802" s="208"/>
      <c r="T802" s="208"/>
      <c r="U802" s="208"/>
      <c r="V802" s="208"/>
      <c r="W802" s="208"/>
      <c r="X802" s="208"/>
      <c r="Y802" s="208"/>
      <c r="Z802" s="208"/>
    </row>
    <row r="803" ht="12.0" customHeight="1">
      <c r="A803" s="208"/>
      <c r="B803" s="208"/>
      <c r="C803" s="208"/>
      <c r="D803" s="208"/>
      <c r="E803" s="208"/>
      <c r="F803" s="208"/>
      <c r="G803" s="208"/>
      <c r="H803" s="208"/>
      <c r="I803" s="208"/>
      <c r="J803" s="208"/>
      <c r="K803" s="208"/>
      <c r="L803" s="208"/>
      <c r="M803" s="208"/>
      <c r="N803" s="208"/>
      <c r="O803" s="208"/>
      <c r="P803" s="208"/>
      <c r="Q803" s="208"/>
      <c r="R803" s="208"/>
      <c r="S803" s="208"/>
      <c r="T803" s="208"/>
      <c r="U803" s="208"/>
      <c r="V803" s="208"/>
      <c r="W803" s="208"/>
      <c r="X803" s="208"/>
      <c r="Y803" s="208"/>
      <c r="Z803" s="208"/>
    </row>
    <row r="804" ht="12.0" customHeight="1">
      <c r="A804" s="208"/>
      <c r="B804" s="208"/>
      <c r="C804" s="208"/>
      <c r="D804" s="208"/>
      <c r="E804" s="208"/>
      <c r="F804" s="208"/>
      <c r="G804" s="208"/>
      <c r="H804" s="208"/>
      <c r="I804" s="208"/>
      <c r="J804" s="208"/>
      <c r="K804" s="208"/>
      <c r="L804" s="208"/>
      <c r="M804" s="208"/>
      <c r="N804" s="208"/>
      <c r="O804" s="208"/>
      <c r="P804" s="208"/>
      <c r="Q804" s="208"/>
      <c r="R804" s="208"/>
      <c r="S804" s="208"/>
      <c r="T804" s="208"/>
      <c r="U804" s="208"/>
      <c r="V804" s="208"/>
      <c r="W804" s="208"/>
      <c r="X804" s="208"/>
      <c r="Y804" s="208"/>
      <c r="Z804" s="208"/>
    </row>
    <row r="805" ht="12.0" customHeight="1">
      <c r="A805" s="208"/>
      <c r="B805" s="208"/>
      <c r="C805" s="208"/>
      <c r="D805" s="208"/>
      <c r="E805" s="208"/>
      <c r="F805" s="208"/>
      <c r="G805" s="208"/>
      <c r="H805" s="208"/>
      <c r="I805" s="208"/>
      <c r="J805" s="208"/>
      <c r="K805" s="208"/>
      <c r="L805" s="208"/>
      <c r="M805" s="208"/>
      <c r="N805" s="208"/>
      <c r="O805" s="208"/>
      <c r="P805" s="208"/>
      <c r="Q805" s="208"/>
      <c r="R805" s="208"/>
      <c r="S805" s="208"/>
      <c r="T805" s="208"/>
      <c r="U805" s="208"/>
      <c r="V805" s="208"/>
      <c r="W805" s="208"/>
      <c r="X805" s="208"/>
      <c r="Y805" s="208"/>
      <c r="Z805" s="208"/>
    </row>
    <row r="806" ht="12.0" customHeight="1">
      <c r="A806" s="208"/>
      <c r="B806" s="208"/>
      <c r="C806" s="208"/>
      <c r="D806" s="208"/>
      <c r="E806" s="208"/>
      <c r="F806" s="208"/>
      <c r="G806" s="208"/>
      <c r="H806" s="208"/>
      <c r="I806" s="208"/>
      <c r="J806" s="208"/>
      <c r="K806" s="208"/>
      <c r="L806" s="208"/>
      <c r="M806" s="208"/>
      <c r="N806" s="208"/>
      <c r="O806" s="208"/>
      <c r="P806" s="208"/>
      <c r="Q806" s="208"/>
      <c r="R806" s="208"/>
      <c r="S806" s="208"/>
      <c r="T806" s="208"/>
      <c r="U806" s="208"/>
      <c r="V806" s="208"/>
      <c r="W806" s="208"/>
      <c r="X806" s="208"/>
      <c r="Y806" s="208"/>
      <c r="Z806" s="208"/>
    </row>
    <row r="807" ht="12.0" customHeight="1">
      <c r="A807" s="208"/>
      <c r="B807" s="208"/>
      <c r="C807" s="208"/>
      <c r="D807" s="208"/>
      <c r="E807" s="208"/>
      <c r="F807" s="208"/>
      <c r="G807" s="208"/>
      <c r="H807" s="208"/>
      <c r="I807" s="208"/>
      <c r="J807" s="208"/>
      <c r="K807" s="208"/>
      <c r="L807" s="208"/>
      <c r="M807" s="208"/>
      <c r="N807" s="208"/>
      <c r="O807" s="208"/>
      <c r="P807" s="208"/>
      <c r="Q807" s="208"/>
      <c r="R807" s="208"/>
      <c r="S807" s="208"/>
      <c r="T807" s="208"/>
      <c r="U807" s="208"/>
      <c r="V807" s="208"/>
      <c r="W807" s="208"/>
      <c r="X807" s="208"/>
      <c r="Y807" s="208"/>
      <c r="Z807" s="208"/>
    </row>
    <row r="808" ht="12.0" customHeight="1">
      <c r="A808" s="208"/>
      <c r="B808" s="208"/>
      <c r="C808" s="208"/>
      <c r="D808" s="208"/>
      <c r="E808" s="208"/>
      <c r="F808" s="208"/>
      <c r="G808" s="208"/>
      <c r="H808" s="208"/>
      <c r="I808" s="208"/>
      <c r="J808" s="208"/>
      <c r="K808" s="208"/>
      <c r="L808" s="208"/>
      <c r="M808" s="208"/>
      <c r="N808" s="208"/>
      <c r="O808" s="208"/>
      <c r="P808" s="208"/>
      <c r="Q808" s="208"/>
      <c r="R808" s="208"/>
      <c r="S808" s="208"/>
      <c r="T808" s="208"/>
      <c r="U808" s="208"/>
      <c r="V808" s="208"/>
      <c r="W808" s="208"/>
      <c r="X808" s="208"/>
      <c r="Y808" s="208"/>
      <c r="Z808" s="208"/>
    </row>
    <row r="809" ht="12.0" customHeight="1">
      <c r="A809" s="208"/>
      <c r="B809" s="208"/>
      <c r="C809" s="208"/>
      <c r="D809" s="208"/>
      <c r="E809" s="208"/>
      <c r="F809" s="208"/>
      <c r="G809" s="208"/>
      <c r="H809" s="208"/>
      <c r="I809" s="208"/>
      <c r="J809" s="208"/>
      <c r="K809" s="208"/>
      <c r="L809" s="208"/>
      <c r="M809" s="208"/>
      <c r="N809" s="208"/>
      <c r="O809" s="208"/>
      <c r="P809" s="208"/>
      <c r="Q809" s="208"/>
      <c r="R809" s="208"/>
      <c r="S809" s="208"/>
      <c r="T809" s="208"/>
      <c r="U809" s="208"/>
      <c r="V809" s="208"/>
      <c r="W809" s="208"/>
      <c r="X809" s="208"/>
      <c r="Y809" s="208"/>
      <c r="Z809" s="208"/>
    </row>
    <row r="810" ht="12.0" customHeight="1">
      <c r="A810" s="208"/>
      <c r="B810" s="208"/>
      <c r="C810" s="208"/>
      <c r="D810" s="208"/>
      <c r="E810" s="208"/>
      <c r="F810" s="208"/>
      <c r="G810" s="208"/>
      <c r="H810" s="208"/>
      <c r="I810" s="208"/>
      <c r="J810" s="208"/>
      <c r="K810" s="208"/>
      <c r="L810" s="208"/>
      <c r="M810" s="208"/>
      <c r="N810" s="208"/>
      <c r="O810" s="208"/>
      <c r="P810" s="208"/>
      <c r="Q810" s="208"/>
      <c r="R810" s="208"/>
      <c r="S810" s="208"/>
      <c r="T810" s="208"/>
      <c r="U810" s="208"/>
      <c r="V810" s="208"/>
      <c r="W810" s="208"/>
      <c r="X810" s="208"/>
      <c r="Y810" s="208"/>
      <c r="Z810" s="208"/>
    </row>
    <row r="811" ht="12.0" customHeight="1">
      <c r="A811" s="208"/>
      <c r="B811" s="208"/>
      <c r="C811" s="208"/>
      <c r="D811" s="208"/>
      <c r="E811" s="208"/>
      <c r="F811" s="208"/>
      <c r="G811" s="208"/>
      <c r="H811" s="208"/>
      <c r="I811" s="208"/>
      <c r="J811" s="208"/>
      <c r="K811" s="208"/>
      <c r="L811" s="208"/>
      <c r="M811" s="208"/>
      <c r="N811" s="208"/>
      <c r="O811" s="208"/>
      <c r="P811" s="208"/>
      <c r="Q811" s="208"/>
      <c r="R811" s="208"/>
      <c r="S811" s="208"/>
      <c r="T811" s="208"/>
      <c r="U811" s="208"/>
      <c r="V811" s="208"/>
      <c r="W811" s="208"/>
      <c r="X811" s="208"/>
      <c r="Y811" s="208"/>
      <c r="Z811" s="208"/>
    </row>
    <row r="812" ht="12.0" customHeight="1">
      <c r="A812" s="208"/>
      <c r="B812" s="208"/>
      <c r="C812" s="208"/>
      <c r="D812" s="208"/>
      <c r="E812" s="208"/>
      <c r="F812" s="208"/>
      <c r="G812" s="208"/>
      <c r="H812" s="208"/>
      <c r="I812" s="208"/>
      <c r="J812" s="208"/>
      <c r="K812" s="208"/>
      <c r="L812" s="208"/>
      <c r="M812" s="208"/>
      <c r="N812" s="208"/>
      <c r="O812" s="208"/>
      <c r="P812" s="208"/>
      <c r="Q812" s="208"/>
      <c r="R812" s="208"/>
      <c r="S812" s="208"/>
      <c r="T812" s="208"/>
      <c r="U812" s="208"/>
      <c r="V812" s="208"/>
      <c r="W812" s="208"/>
      <c r="X812" s="208"/>
      <c r="Y812" s="208"/>
      <c r="Z812" s="208"/>
    </row>
    <row r="813" ht="12.0" customHeight="1">
      <c r="A813" s="208"/>
      <c r="B813" s="208"/>
      <c r="C813" s="208"/>
      <c r="D813" s="208"/>
      <c r="E813" s="208"/>
      <c r="F813" s="208"/>
      <c r="G813" s="208"/>
      <c r="H813" s="208"/>
      <c r="I813" s="208"/>
      <c r="J813" s="208"/>
      <c r="K813" s="208"/>
      <c r="L813" s="208"/>
      <c r="M813" s="208"/>
      <c r="N813" s="208"/>
      <c r="O813" s="208"/>
      <c r="P813" s="208"/>
      <c r="Q813" s="208"/>
      <c r="R813" s="208"/>
      <c r="S813" s="208"/>
      <c r="T813" s="208"/>
      <c r="U813" s="208"/>
      <c r="V813" s="208"/>
      <c r="W813" s="208"/>
      <c r="X813" s="208"/>
      <c r="Y813" s="208"/>
      <c r="Z813" s="208"/>
    </row>
    <row r="814" ht="12.0" customHeight="1">
      <c r="A814" s="208"/>
      <c r="B814" s="208"/>
      <c r="C814" s="208"/>
      <c r="D814" s="208"/>
      <c r="E814" s="208"/>
      <c r="F814" s="208"/>
      <c r="G814" s="208"/>
      <c r="H814" s="208"/>
      <c r="I814" s="208"/>
      <c r="J814" s="208"/>
      <c r="K814" s="208"/>
      <c r="L814" s="208"/>
      <c r="M814" s="208"/>
      <c r="N814" s="208"/>
      <c r="O814" s="208"/>
      <c r="P814" s="208"/>
      <c r="Q814" s="208"/>
      <c r="R814" s="208"/>
      <c r="S814" s="208"/>
      <c r="T814" s="208"/>
      <c r="U814" s="208"/>
      <c r="V814" s="208"/>
      <c r="W814" s="208"/>
      <c r="X814" s="208"/>
      <c r="Y814" s="208"/>
      <c r="Z814" s="208"/>
    </row>
    <row r="815" ht="12.0" customHeight="1">
      <c r="A815" s="208"/>
      <c r="B815" s="208"/>
      <c r="C815" s="208"/>
      <c r="D815" s="208"/>
      <c r="E815" s="208"/>
      <c r="F815" s="208"/>
      <c r="G815" s="208"/>
      <c r="H815" s="208"/>
      <c r="I815" s="208"/>
      <c r="J815" s="208"/>
      <c r="K815" s="208"/>
      <c r="L815" s="208"/>
      <c r="M815" s="208"/>
      <c r="N815" s="208"/>
      <c r="O815" s="208"/>
      <c r="P815" s="208"/>
      <c r="Q815" s="208"/>
      <c r="R815" s="208"/>
      <c r="S815" s="208"/>
      <c r="T815" s="208"/>
      <c r="U815" s="208"/>
      <c r="V815" s="208"/>
      <c r="W815" s="208"/>
      <c r="X815" s="208"/>
      <c r="Y815" s="208"/>
      <c r="Z815" s="208"/>
    </row>
    <row r="816" ht="12.0" customHeight="1">
      <c r="A816" s="208"/>
      <c r="B816" s="208"/>
      <c r="C816" s="208"/>
      <c r="D816" s="208"/>
      <c r="E816" s="208"/>
      <c r="F816" s="208"/>
      <c r="G816" s="208"/>
      <c r="H816" s="208"/>
      <c r="I816" s="208"/>
      <c r="J816" s="208"/>
      <c r="K816" s="208"/>
      <c r="L816" s="208"/>
      <c r="M816" s="208"/>
      <c r="N816" s="208"/>
      <c r="O816" s="208"/>
      <c r="P816" s="208"/>
      <c r="Q816" s="208"/>
      <c r="R816" s="208"/>
      <c r="S816" s="208"/>
      <c r="T816" s="208"/>
      <c r="U816" s="208"/>
      <c r="V816" s="208"/>
      <c r="W816" s="208"/>
      <c r="X816" s="208"/>
      <c r="Y816" s="208"/>
      <c r="Z816" s="208"/>
    </row>
    <row r="817" ht="12.0" customHeight="1">
      <c r="A817" s="208"/>
      <c r="B817" s="208"/>
      <c r="C817" s="208"/>
      <c r="D817" s="208"/>
      <c r="E817" s="208"/>
      <c r="F817" s="208"/>
      <c r="G817" s="208"/>
      <c r="H817" s="208"/>
      <c r="I817" s="208"/>
      <c r="J817" s="208"/>
      <c r="K817" s="208"/>
      <c r="L817" s="208"/>
      <c r="M817" s="208"/>
      <c r="N817" s="208"/>
      <c r="O817" s="208"/>
      <c r="P817" s="208"/>
      <c r="Q817" s="208"/>
      <c r="R817" s="208"/>
      <c r="S817" s="208"/>
      <c r="T817" s="208"/>
      <c r="U817" s="208"/>
      <c r="V817" s="208"/>
      <c r="W817" s="208"/>
      <c r="X817" s="208"/>
      <c r="Y817" s="208"/>
      <c r="Z817" s="208"/>
    </row>
    <row r="818" ht="12.0" customHeight="1">
      <c r="A818" s="208"/>
      <c r="B818" s="208"/>
      <c r="C818" s="208"/>
      <c r="D818" s="208"/>
      <c r="E818" s="208"/>
      <c r="F818" s="208"/>
      <c r="G818" s="208"/>
      <c r="H818" s="208"/>
      <c r="I818" s="208"/>
      <c r="J818" s="208"/>
      <c r="K818" s="208"/>
      <c r="L818" s="208"/>
      <c r="M818" s="208"/>
      <c r="N818" s="208"/>
      <c r="O818" s="208"/>
      <c r="P818" s="208"/>
      <c r="Q818" s="208"/>
      <c r="R818" s="208"/>
      <c r="S818" s="208"/>
      <c r="T818" s="208"/>
      <c r="U818" s="208"/>
      <c r="V818" s="208"/>
      <c r="W818" s="208"/>
      <c r="X818" s="208"/>
      <c r="Y818" s="208"/>
      <c r="Z818" s="208"/>
    </row>
    <row r="819" ht="12.0" customHeight="1">
      <c r="A819" s="208"/>
      <c r="B819" s="208"/>
      <c r="C819" s="208"/>
      <c r="D819" s="208"/>
      <c r="E819" s="208"/>
      <c r="F819" s="208"/>
      <c r="G819" s="208"/>
      <c r="H819" s="208"/>
      <c r="I819" s="208"/>
      <c r="J819" s="208"/>
      <c r="K819" s="208"/>
      <c r="L819" s="208"/>
      <c r="M819" s="208"/>
      <c r="N819" s="208"/>
      <c r="O819" s="208"/>
      <c r="P819" s="208"/>
      <c r="Q819" s="208"/>
      <c r="R819" s="208"/>
      <c r="S819" s="208"/>
      <c r="T819" s="208"/>
      <c r="U819" s="208"/>
      <c r="V819" s="208"/>
      <c r="W819" s="208"/>
      <c r="X819" s="208"/>
      <c r="Y819" s="208"/>
      <c r="Z819" s="208"/>
    </row>
    <row r="820" ht="12.0" customHeight="1">
      <c r="A820" s="208"/>
      <c r="B820" s="208"/>
      <c r="C820" s="208"/>
      <c r="D820" s="208"/>
      <c r="E820" s="208"/>
      <c r="F820" s="208"/>
      <c r="G820" s="208"/>
      <c r="H820" s="208"/>
      <c r="I820" s="208"/>
      <c r="J820" s="208"/>
      <c r="K820" s="208"/>
      <c r="L820" s="208"/>
      <c r="M820" s="208"/>
      <c r="N820" s="208"/>
      <c r="O820" s="208"/>
      <c r="P820" s="208"/>
      <c r="Q820" s="208"/>
      <c r="R820" s="208"/>
      <c r="S820" s="208"/>
      <c r="T820" s="208"/>
      <c r="U820" s="208"/>
      <c r="V820" s="208"/>
      <c r="W820" s="208"/>
      <c r="X820" s="208"/>
      <c r="Y820" s="208"/>
      <c r="Z820" s="208"/>
    </row>
    <row r="821" ht="12.0" customHeight="1">
      <c r="A821" s="208"/>
      <c r="B821" s="208"/>
      <c r="C821" s="208"/>
      <c r="D821" s="208"/>
      <c r="E821" s="208"/>
      <c r="F821" s="208"/>
      <c r="G821" s="208"/>
      <c r="H821" s="208"/>
      <c r="I821" s="208"/>
      <c r="J821" s="208"/>
      <c r="K821" s="208"/>
      <c r="L821" s="208"/>
      <c r="M821" s="208"/>
      <c r="N821" s="208"/>
      <c r="O821" s="208"/>
      <c r="P821" s="208"/>
      <c r="Q821" s="208"/>
      <c r="R821" s="208"/>
      <c r="S821" s="208"/>
      <c r="T821" s="208"/>
      <c r="U821" s="208"/>
      <c r="V821" s="208"/>
      <c r="W821" s="208"/>
      <c r="X821" s="208"/>
      <c r="Y821" s="208"/>
      <c r="Z821" s="208"/>
    </row>
    <row r="822" ht="12.0" customHeight="1">
      <c r="A822" s="208"/>
      <c r="B822" s="208"/>
      <c r="C822" s="208"/>
      <c r="D822" s="208"/>
      <c r="E822" s="208"/>
      <c r="F822" s="208"/>
      <c r="G822" s="208"/>
      <c r="H822" s="208"/>
      <c r="I822" s="208"/>
      <c r="J822" s="208"/>
      <c r="K822" s="208"/>
      <c r="L822" s="208"/>
      <c r="M822" s="208"/>
      <c r="N822" s="208"/>
      <c r="O822" s="208"/>
      <c r="P822" s="208"/>
      <c r="Q822" s="208"/>
      <c r="R822" s="208"/>
      <c r="S822" s="208"/>
      <c r="T822" s="208"/>
      <c r="U822" s="208"/>
      <c r="V822" s="208"/>
      <c r="W822" s="208"/>
      <c r="X822" s="208"/>
      <c r="Y822" s="208"/>
      <c r="Z822" s="208"/>
    </row>
    <row r="823" ht="12.0" customHeight="1">
      <c r="A823" s="208"/>
      <c r="B823" s="208"/>
      <c r="C823" s="208"/>
      <c r="D823" s="208"/>
      <c r="E823" s="208"/>
      <c r="F823" s="208"/>
      <c r="G823" s="208"/>
      <c r="H823" s="208"/>
      <c r="I823" s="208"/>
      <c r="J823" s="208"/>
      <c r="K823" s="208"/>
      <c r="L823" s="208"/>
      <c r="M823" s="208"/>
      <c r="N823" s="208"/>
      <c r="O823" s="208"/>
      <c r="P823" s="208"/>
      <c r="Q823" s="208"/>
      <c r="R823" s="208"/>
      <c r="S823" s="208"/>
      <c r="T823" s="208"/>
      <c r="U823" s="208"/>
      <c r="V823" s="208"/>
      <c r="W823" s="208"/>
      <c r="X823" s="208"/>
      <c r="Y823" s="208"/>
      <c r="Z823" s="208"/>
    </row>
    <row r="824" ht="12.0" customHeight="1">
      <c r="A824" s="208"/>
      <c r="B824" s="208"/>
      <c r="C824" s="208"/>
      <c r="D824" s="208"/>
      <c r="E824" s="208"/>
      <c r="F824" s="208"/>
      <c r="G824" s="208"/>
      <c r="H824" s="208"/>
      <c r="I824" s="208"/>
      <c r="J824" s="208"/>
      <c r="K824" s="208"/>
      <c r="L824" s="208"/>
      <c r="M824" s="208"/>
      <c r="N824" s="208"/>
      <c r="O824" s="208"/>
      <c r="P824" s="208"/>
      <c r="Q824" s="208"/>
      <c r="R824" s="208"/>
      <c r="S824" s="208"/>
      <c r="T824" s="208"/>
      <c r="U824" s="208"/>
      <c r="V824" s="208"/>
      <c r="W824" s="208"/>
      <c r="X824" s="208"/>
      <c r="Y824" s="208"/>
      <c r="Z824" s="208"/>
    </row>
    <row r="825" ht="12.0" customHeight="1">
      <c r="A825" s="208"/>
      <c r="B825" s="208"/>
      <c r="C825" s="208"/>
      <c r="D825" s="208"/>
      <c r="E825" s="208"/>
      <c r="F825" s="208"/>
      <c r="G825" s="208"/>
      <c r="H825" s="208"/>
      <c r="I825" s="208"/>
      <c r="J825" s="208"/>
      <c r="K825" s="208"/>
      <c r="L825" s="208"/>
      <c r="M825" s="208"/>
      <c r="N825" s="208"/>
      <c r="O825" s="208"/>
      <c r="P825" s="208"/>
      <c r="Q825" s="208"/>
      <c r="R825" s="208"/>
      <c r="S825" s="208"/>
      <c r="T825" s="208"/>
      <c r="U825" s="208"/>
      <c r="V825" s="208"/>
      <c r="W825" s="208"/>
      <c r="X825" s="208"/>
      <c r="Y825" s="208"/>
      <c r="Z825" s="208"/>
    </row>
    <row r="826" ht="12.0" customHeight="1">
      <c r="A826" s="208"/>
      <c r="B826" s="208"/>
      <c r="C826" s="208"/>
      <c r="D826" s="208"/>
      <c r="E826" s="208"/>
      <c r="F826" s="208"/>
      <c r="G826" s="208"/>
      <c r="H826" s="208"/>
      <c r="I826" s="208"/>
      <c r="J826" s="208"/>
      <c r="K826" s="208"/>
      <c r="L826" s="208"/>
      <c r="M826" s="208"/>
      <c r="N826" s="208"/>
      <c r="O826" s="208"/>
      <c r="P826" s="208"/>
      <c r="Q826" s="208"/>
      <c r="R826" s="208"/>
      <c r="S826" s="208"/>
      <c r="T826" s="208"/>
      <c r="U826" s="208"/>
      <c r="V826" s="208"/>
      <c r="W826" s="208"/>
      <c r="X826" s="208"/>
      <c r="Y826" s="208"/>
      <c r="Z826" s="208"/>
    </row>
    <row r="827" ht="12.0" customHeight="1">
      <c r="A827" s="208"/>
      <c r="B827" s="208"/>
      <c r="C827" s="208"/>
      <c r="D827" s="208"/>
      <c r="E827" s="208"/>
      <c r="F827" s="208"/>
      <c r="G827" s="208"/>
      <c r="H827" s="208"/>
      <c r="I827" s="208"/>
      <c r="J827" s="208"/>
      <c r="K827" s="208"/>
      <c r="L827" s="208"/>
      <c r="M827" s="208"/>
      <c r="N827" s="208"/>
      <c r="O827" s="208"/>
      <c r="P827" s="208"/>
      <c r="Q827" s="208"/>
      <c r="R827" s="208"/>
      <c r="S827" s="208"/>
      <c r="T827" s="208"/>
      <c r="U827" s="208"/>
      <c r="V827" s="208"/>
      <c r="W827" s="208"/>
      <c r="X827" s="208"/>
      <c r="Y827" s="208"/>
      <c r="Z827" s="208"/>
    </row>
    <row r="828" ht="12.0" customHeight="1">
      <c r="A828" s="208"/>
      <c r="B828" s="208"/>
      <c r="C828" s="208"/>
      <c r="D828" s="208"/>
      <c r="E828" s="208"/>
      <c r="F828" s="208"/>
      <c r="G828" s="208"/>
      <c r="H828" s="208"/>
      <c r="I828" s="208"/>
      <c r="J828" s="208"/>
      <c r="K828" s="208"/>
      <c r="L828" s="208"/>
      <c r="M828" s="208"/>
      <c r="N828" s="208"/>
      <c r="O828" s="208"/>
      <c r="P828" s="208"/>
      <c r="Q828" s="208"/>
      <c r="R828" s="208"/>
      <c r="S828" s="208"/>
      <c r="T828" s="208"/>
      <c r="U828" s="208"/>
      <c r="V828" s="208"/>
      <c r="W828" s="208"/>
      <c r="X828" s="208"/>
      <c r="Y828" s="208"/>
      <c r="Z828" s="208"/>
    </row>
    <row r="829" ht="12.0" customHeight="1">
      <c r="A829" s="208"/>
      <c r="B829" s="208"/>
      <c r="C829" s="208"/>
      <c r="D829" s="208"/>
      <c r="E829" s="208"/>
      <c r="F829" s="208"/>
      <c r="G829" s="208"/>
      <c r="H829" s="208"/>
      <c r="I829" s="208"/>
      <c r="J829" s="208"/>
      <c r="K829" s="208"/>
      <c r="L829" s="208"/>
      <c r="M829" s="208"/>
      <c r="N829" s="208"/>
      <c r="O829" s="208"/>
      <c r="P829" s="208"/>
      <c r="Q829" s="208"/>
      <c r="R829" s="208"/>
      <c r="S829" s="208"/>
      <c r="T829" s="208"/>
      <c r="U829" s="208"/>
      <c r="V829" s="208"/>
      <c r="W829" s="208"/>
      <c r="X829" s="208"/>
      <c r="Y829" s="208"/>
      <c r="Z829" s="208"/>
    </row>
    <row r="830" ht="12.0" customHeight="1">
      <c r="A830" s="208"/>
      <c r="B830" s="208"/>
      <c r="C830" s="208"/>
      <c r="D830" s="208"/>
      <c r="E830" s="208"/>
      <c r="F830" s="208"/>
      <c r="G830" s="208"/>
      <c r="H830" s="208"/>
      <c r="I830" s="208"/>
      <c r="J830" s="208"/>
      <c r="K830" s="208"/>
      <c r="L830" s="208"/>
      <c r="M830" s="208"/>
      <c r="N830" s="208"/>
      <c r="O830" s="208"/>
      <c r="P830" s="208"/>
      <c r="Q830" s="208"/>
      <c r="R830" s="208"/>
      <c r="S830" s="208"/>
      <c r="T830" s="208"/>
      <c r="U830" s="208"/>
      <c r="V830" s="208"/>
      <c r="W830" s="208"/>
      <c r="X830" s="208"/>
      <c r="Y830" s="208"/>
      <c r="Z830" s="208"/>
    </row>
    <row r="831" ht="12.0" customHeight="1">
      <c r="A831" s="208"/>
      <c r="B831" s="208"/>
      <c r="C831" s="208"/>
      <c r="D831" s="208"/>
      <c r="E831" s="208"/>
      <c r="F831" s="208"/>
      <c r="G831" s="208"/>
      <c r="H831" s="208"/>
      <c r="I831" s="208"/>
      <c r="J831" s="208"/>
      <c r="K831" s="208"/>
      <c r="L831" s="208"/>
      <c r="M831" s="208"/>
      <c r="N831" s="208"/>
      <c r="O831" s="208"/>
      <c r="P831" s="208"/>
      <c r="Q831" s="208"/>
      <c r="R831" s="208"/>
      <c r="S831" s="208"/>
      <c r="T831" s="208"/>
      <c r="U831" s="208"/>
      <c r="V831" s="208"/>
      <c r="W831" s="208"/>
      <c r="X831" s="208"/>
      <c r="Y831" s="208"/>
      <c r="Z831" s="208"/>
    </row>
    <row r="832" ht="12.0" customHeight="1">
      <c r="A832" s="208"/>
      <c r="B832" s="208"/>
      <c r="C832" s="208"/>
      <c r="D832" s="208"/>
      <c r="E832" s="208"/>
      <c r="F832" s="208"/>
      <c r="G832" s="208"/>
      <c r="H832" s="208"/>
      <c r="I832" s="208"/>
      <c r="J832" s="208"/>
      <c r="K832" s="208"/>
      <c r="L832" s="208"/>
      <c r="M832" s="208"/>
      <c r="N832" s="208"/>
      <c r="O832" s="208"/>
      <c r="P832" s="208"/>
      <c r="Q832" s="208"/>
      <c r="R832" s="208"/>
      <c r="S832" s="208"/>
      <c r="T832" s="208"/>
      <c r="U832" s="208"/>
      <c r="V832" s="208"/>
      <c r="W832" s="208"/>
      <c r="X832" s="208"/>
      <c r="Y832" s="208"/>
      <c r="Z832" s="208"/>
    </row>
    <row r="833" ht="12.0" customHeight="1">
      <c r="A833" s="208"/>
      <c r="B833" s="208"/>
      <c r="C833" s="208"/>
      <c r="D833" s="208"/>
      <c r="E833" s="208"/>
      <c r="F833" s="208"/>
      <c r="G833" s="208"/>
      <c r="H833" s="208"/>
      <c r="I833" s="208"/>
      <c r="J833" s="208"/>
      <c r="K833" s="208"/>
      <c r="L833" s="208"/>
      <c r="M833" s="208"/>
      <c r="N833" s="208"/>
      <c r="O833" s="208"/>
      <c r="P833" s="208"/>
      <c r="Q833" s="208"/>
      <c r="R833" s="208"/>
      <c r="S833" s="208"/>
      <c r="T833" s="208"/>
      <c r="U833" s="208"/>
      <c r="V833" s="208"/>
      <c r="W833" s="208"/>
      <c r="X833" s="208"/>
      <c r="Y833" s="208"/>
      <c r="Z833" s="208"/>
    </row>
    <row r="834" ht="12.0" customHeight="1">
      <c r="A834" s="208"/>
      <c r="B834" s="208"/>
      <c r="C834" s="208"/>
      <c r="D834" s="208"/>
      <c r="E834" s="208"/>
      <c r="F834" s="208"/>
      <c r="G834" s="208"/>
      <c r="H834" s="208"/>
      <c r="I834" s="208"/>
      <c r="J834" s="208"/>
      <c r="K834" s="208"/>
      <c r="L834" s="208"/>
      <c r="M834" s="208"/>
      <c r="N834" s="208"/>
      <c r="O834" s="208"/>
      <c r="P834" s="208"/>
      <c r="Q834" s="208"/>
      <c r="R834" s="208"/>
      <c r="S834" s="208"/>
      <c r="T834" s="208"/>
      <c r="U834" s="208"/>
      <c r="V834" s="208"/>
      <c r="W834" s="208"/>
      <c r="X834" s="208"/>
      <c r="Y834" s="208"/>
      <c r="Z834" s="208"/>
    </row>
    <row r="835" ht="12.0" customHeight="1">
      <c r="A835" s="208"/>
      <c r="B835" s="208"/>
      <c r="C835" s="208"/>
      <c r="D835" s="208"/>
      <c r="E835" s="208"/>
      <c r="F835" s="208"/>
      <c r="G835" s="208"/>
      <c r="H835" s="208"/>
      <c r="I835" s="208"/>
      <c r="J835" s="208"/>
      <c r="K835" s="208"/>
      <c r="L835" s="208"/>
      <c r="M835" s="208"/>
      <c r="N835" s="208"/>
      <c r="O835" s="208"/>
      <c r="P835" s="208"/>
      <c r="Q835" s="208"/>
      <c r="R835" s="208"/>
      <c r="S835" s="208"/>
      <c r="T835" s="208"/>
      <c r="U835" s="208"/>
      <c r="V835" s="208"/>
      <c r="W835" s="208"/>
      <c r="X835" s="208"/>
      <c r="Y835" s="208"/>
      <c r="Z835" s="208"/>
    </row>
    <row r="836" ht="12.0" customHeight="1">
      <c r="A836" s="208"/>
      <c r="B836" s="208"/>
      <c r="C836" s="208"/>
      <c r="D836" s="208"/>
      <c r="E836" s="208"/>
      <c r="F836" s="208"/>
      <c r="G836" s="208"/>
      <c r="H836" s="208"/>
      <c r="I836" s="208"/>
      <c r="J836" s="208"/>
      <c r="K836" s="208"/>
      <c r="L836" s="208"/>
      <c r="M836" s="208"/>
      <c r="N836" s="208"/>
      <c r="O836" s="208"/>
      <c r="P836" s="208"/>
      <c r="Q836" s="208"/>
      <c r="R836" s="208"/>
      <c r="S836" s="208"/>
      <c r="T836" s="208"/>
      <c r="U836" s="208"/>
      <c r="V836" s="208"/>
      <c r="W836" s="208"/>
      <c r="X836" s="208"/>
      <c r="Y836" s="208"/>
      <c r="Z836" s="208"/>
    </row>
    <row r="837" ht="12.0" customHeight="1">
      <c r="A837" s="208"/>
      <c r="B837" s="208"/>
      <c r="C837" s="208"/>
      <c r="D837" s="208"/>
      <c r="E837" s="208"/>
      <c r="F837" s="208"/>
      <c r="G837" s="208"/>
      <c r="H837" s="208"/>
      <c r="I837" s="208"/>
      <c r="J837" s="208"/>
      <c r="K837" s="208"/>
      <c r="L837" s="208"/>
      <c r="M837" s="208"/>
      <c r="N837" s="208"/>
      <c r="O837" s="208"/>
      <c r="P837" s="208"/>
      <c r="Q837" s="208"/>
      <c r="R837" s="208"/>
      <c r="S837" s="208"/>
      <c r="T837" s="208"/>
      <c r="U837" s="208"/>
      <c r="V837" s="208"/>
      <c r="W837" s="208"/>
      <c r="X837" s="208"/>
      <c r="Y837" s="208"/>
      <c r="Z837" s="208"/>
    </row>
    <row r="838" ht="12.0" customHeight="1">
      <c r="A838" s="208"/>
      <c r="B838" s="208"/>
      <c r="C838" s="208"/>
      <c r="D838" s="208"/>
      <c r="E838" s="208"/>
      <c r="F838" s="208"/>
      <c r="G838" s="208"/>
      <c r="H838" s="208"/>
      <c r="I838" s="208"/>
      <c r="J838" s="208"/>
      <c r="K838" s="208"/>
      <c r="L838" s="208"/>
      <c r="M838" s="208"/>
      <c r="N838" s="208"/>
      <c r="O838" s="208"/>
      <c r="P838" s="208"/>
      <c r="Q838" s="208"/>
      <c r="R838" s="208"/>
      <c r="S838" s="208"/>
      <c r="T838" s="208"/>
      <c r="U838" s="208"/>
      <c r="V838" s="208"/>
      <c r="W838" s="208"/>
      <c r="X838" s="208"/>
      <c r="Y838" s="208"/>
      <c r="Z838" s="208"/>
    </row>
    <row r="839" ht="12.0" customHeight="1">
      <c r="A839" s="208"/>
      <c r="B839" s="208"/>
      <c r="C839" s="208"/>
      <c r="D839" s="208"/>
      <c r="E839" s="208"/>
      <c r="F839" s="208"/>
      <c r="G839" s="208"/>
      <c r="H839" s="208"/>
      <c r="I839" s="208"/>
      <c r="J839" s="208"/>
      <c r="K839" s="208"/>
      <c r="L839" s="208"/>
      <c r="M839" s="208"/>
      <c r="N839" s="208"/>
      <c r="O839" s="208"/>
      <c r="P839" s="208"/>
      <c r="Q839" s="208"/>
      <c r="R839" s="208"/>
      <c r="S839" s="208"/>
      <c r="T839" s="208"/>
      <c r="U839" s="208"/>
      <c r="V839" s="208"/>
      <c r="W839" s="208"/>
      <c r="X839" s="208"/>
      <c r="Y839" s="208"/>
      <c r="Z839" s="208"/>
    </row>
    <row r="840" ht="12.0" customHeight="1">
      <c r="A840" s="208"/>
      <c r="B840" s="208"/>
      <c r="C840" s="208"/>
      <c r="D840" s="208"/>
      <c r="E840" s="208"/>
      <c r="F840" s="208"/>
      <c r="G840" s="208"/>
      <c r="H840" s="208"/>
      <c r="I840" s="208"/>
      <c r="J840" s="208"/>
      <c r="K840" s="208"/>
      <c r="L840" s="208"/>
      <c r="M840" s="208"/>
      <c r="N840" s="208"/>
      <c r="O840" s="208"/>
      <c r="P840" s="208"/>
      <c r="Q840" s="208"/>
      <c r="R840" s="208"/>
      <c r="S840" s="208"/>
      <c r="T840" s="208"/>
      <c r="U840" s="208"/>
      <c r="V840" s="208"/>
      <c r="W840" s="208"/>
      <c r="X840" s="208"/>
      <c r="Y840" s="208"/>
      <c r="Z840" s="208"/>
    </row>
    <row r="841" ht="12.0" customHeight="1">
      <c r="A841" s="208"/>
      <c r="B841" s="208"/>
      <c r="C841" s="208"/>
      <c r="D841" s="208"/>
      <c r="E841" s="208"/>
      <c r="F841" s="208"/>
      <c r="G841" s="208"/>
      <c r="H841" s="208"/>
      <c r="I841" s="208"/>
      <c r="J841" s="208"/>
      <c r="K841" s="208"/>
      <c r="L841" s="208"/>
      <c r="M841" s="208"/>
      <c r="N841" s="208"/>
      <c r="O841" s="208"/>
      <c r="P841" s="208"/>
      <c r="Q841" s="208"/>
      <c r="R841" s="208"/>
      <c r="S841" s="208"/>
      <c r="T841" s="208"/>
      <c r="U841" s="208"/>
      <c r="V841" s="208"/>
      <c r="W841" s="208"/>
      <c r="X841" s="208"/>
      <c r="Y841" s="208"/>
      <c r="Z841" s="208"/>
    </row>
    <row r="842" ht="12.0" customHeight="1">
      <c r="A842" s="208"/>
      <c r="B842" s="208"/>
      <c r="C842" s="208"/>
      <c r="D842" s="208"/>
      <c r="E842" s="208"/>
      <c r="F842" s="208"/>
      <c r="G842" s="208"/>
      <c r="H842" s="208"/>
      <c r="I842" s="208"/>
      <c r="J842" s="208"/>
      <c r="K842" s="208"/>
      <c r="L842" s="208"/>
      <c r="M842" s="208"/>
      <c r="N842" s="208"/>
      <c r="O842" s="208"/>
      <c r="P842" s="208"/>
      <c r="Q842" s="208"/>
      <c r="R842" s="208"/>
      <c r="S842" s="208"/>
      <c r="T842" s="208"/>
      <c r="U842" s="208"/>
      <c r="V842" s="208"/>
      <c r="W842" s="208"/>
      <c r="X842" s="208"/>
      <c r="Y842" s="208"/>
      <c r="Z842" s="208"/>
    </row>
    <row r="843" ht="12.0" customHeight="1">
      <c r="A843" s="208"/>
      <c r="B843" s="208"/>
      <c r="C843" s="208"/>
      <c r="D843" s="208"/>
      <c r="E843" s="208"/>
      <c r="F843" s="208"/>
      <c r="G843" s="208"/>
      <c r="H843" s="208"/>
      <c r="I843" s="208"/>
      <c r="J843" s="208"/>
      <c r="K843" s="208"/>
      <c r="L843" s="208"/>
      <c r="M843" s="208"/>
      <c r="N843" s="208"/>
      <c r="O843" s="208"/>
      <c r="P843" s="208"/>
      <c r="Q843" s="208"/>
      <c r="R843" s="208"/>
      <c r="S843" s="208"/>
      <c r="T843" s="208"/>
      <c r="U843" s="208"/>
      <c r="V843" s="208"/>
      <c r="W843" s="208"/>
      <c r="X843" s="208"/>
      <c r="Y843" s="208"/>
      <c r="Z843" s="208"/>
    </row>
    <row r="844" ht="12.0" customHeight="1">
      <c r="A844" s="208"/>
      <c r="B844" s="208"/>
      <c r="C844" s="208"/>
      <c r="D844" s="208"/>
      <c r="E844" s="208"/>
      <c r="F844" s="208"/>
      <c r="G844" s="208"/>
      <c r="H844" s="208"/>
      <c r="I844" s="208"/>
      <c r="J844" s="208"/>
      <c r="K844" s="208"/>
      <c r="L844" s="208"/>
      <c r="M844" s="208"/>
      <c r="N844" s="208"/>
      <c r="O844" s="208"/>
      <c r="P844" s="208"/>
      <c r="Q844" s="208"/>
      <c r="R844" s="208"/>
      <c r="S844" s="208"/>
      <c r="T844" s="208"/>
      <c r="U844" s="208"/>
      <c r="V844" s="208"/>
      <c r="W844" s="208"/>
      <c r="X844" s="208"/>
      <c r="Y844" s="208"/>
      <c r="Z844" s="208"/>
    </row>
    <row r="845" ht="12.0" customHeight="1">
      <c r="A845" s="208"/>
      <c r="B845" s="208"/>
      <c r="C845" s="208"/>
      <c r="D845" s="208"/>
      <c r="E845" s="208"/>
      <c r="F845" s="208"/>
      <c r="G845" s="208"/>
      <c r="H845" s="208"/>
      <c r="I845" s="208"/>
      <c r="J845" s="208"/>
      <c r="K845" s="208"/>
      <c r="L845" s="208"/>
      <c r="M845" s="208"/>
      <c r="N845" s="208"/>
      <c r="O845" s="208"/>
      <c r="P845" s="208"/>
      <c r="Q845" s="208"/>
      <c r="R845" s="208"/>
      <c r="S845" s="208"/>
      <c r="T845" s="208"/>
      <c r="U845" s="208"/>
      <c r="V845" s="208"/>
      <c r="W845" s="208"/>
      <c r="X845" s="208"/>
      <c r="Y845" s="208"/>
      <c r="Z845" s="208"/>
    </row>
    <row r="846" ht="12.0" customHeight="1">
      <c r="A846" s="208"/>
      <c r="B846" s="208"/>
      <c r="C846" s="208"/>
      <c r="D846" s="208"/>
      <c r="E846" s="208"/>
      <c r="F846" s="208"/>
      <c r="G846" s="208"/>
      <c r="H846" s="208"/>
      <c r="I846" s="208"/>
      <c r="J846" s="208"/>
      <c r="K846" s="208"/>
      <c r="L846" s="208"/>
      <c r="M846" s="208"/>
      <c r="N846" s="208"/>
      <c r="O846" s="208"/>
      <c r="P846" s="208"/>
      <c r="Q846" s="208"/>
      <c r="R846" s="208"/>
      <c r="S846" s="208"/>
      <c r="T846" s="208"/>
      <c r="U846" s="208"/>
      <c r="V846" s="208"/>
      <c r="W846" s="208"/>
      <c r="X846" s="208"/>
      <c r="Y846" s="208"/>
      <c r="Z846" s="208"/>
    </row>
    <row r="847" ht="12.0" customHeight="1">
      <c r="A847" s="208"/>
      <c r="B847" s="208"/>
      <c r="C847" s="208"/>
      <c r="D847" s="208"/>
      <c r="E847" s="208"/>
      <c r="F847" s="208"/>
      <c r="G847" s="208"/>
      <c r="H847" s="208"/>
      <c r="I847" s="208"/>
      <c r="J847" s="208"/>
      <c r="K847" s="208"/>
      <c r="L847" s="208"/>
      <c r="M847" s="208"/>
      <c r="N847" s="208"/>
      <c r="O847" s="208"/>
      <c r="P847" s="208"/>
      <c r="Q847" s="208"/>
      <c r="R847" s="208"/>
      <c r="S847" s="208"/>
      <c r="T847" s="208"/>
      <c r="U847" s="208"/>
      <c r="V847" s="208"/>
      <c r="W847" s="208"/>
      <c r="X847" s="208"/>
      <c r="Y847" s="208"/>
      <c r="Z847" s="208"/>
    </row>
    <row r="848" ht="12.0" customHeight="1">
      <c r="A848" s="208"/>
      <c r="B848" s="208"/>
      <c r="C848" s="208"/>
      <c r="D848" s="208"/>
      <c r="E848" s="208"/>
      <c r="F848" s="208"/>
      <c r="G848" s="208"/>
      <c r="H848" s="208"/>
      <c r="I848" s="208"/>
      <c r="J848" s="208"/>
      <c r="K848" s="208"/>
      <c r="L848" s="208"/>
      <c r="M848" s="208"/>
      <c r="N848" s="208"/>
      <c r="O848" s="208"/>
      <c r="P848" s="208"/>
      <c r="Q848" s="208"/>
      <c r="R848" s="208"/>
      <c r="S848" s="208"/>
      <c r="T848" s="208"/>
      <c r="U848" s="208"/>
      <c r="V848" s="208"/>
      <c r="W848" s="208"/>
      <c r="X848" s="208"/>
      <c r="Y848" s="208"/>
      <c r="Z848" s="208"/>
    </row>
    <row r="849" ht="12.0" customHeight="1">
      <c r="A849" s="208"/>
      <c r="B849" s="208"/>
      <c r="C849" s="208"/>
      <c r="D849" s="208"/>
      <c r="E849" s="208"/>
      <c r="F849" s="208"/>
      <c r="G849" s="208"/>
      <c r="H849" s="208"/>
      <c r="I849" s="208"/>
      <c r="J849" s="208"/>
      <c r="K849" s="208"/>
      <c r="L849" s="208"/>
      <c r="M849" s="208"/>
      <c r="N849" s="208"/>
      <c r="O849" s="208"/>
      <c r="P849" s="208"/>
      <c r="Q849" s="208"/>
      <c r="R849" s="208"/>
      <c r="S849" s="208"/>
      <c r="T849" s="208"/>
      <c r="U849" s="208"/>
      <c r="V849" s="208"/>
      <c r="W849" s="208"/>
      <c r="X849" s="208"/>
      <c r="Y849" s="208"/>
      <c r="Z849" s="208"/>
    </row>
    <row r="850" ht="12.0" customHeight="1">
      <c r="A850" s="208"/>
      <c r="B850" s="208"/>
      <c r="C850" s="208"/>
      <c r="D850" s="208"/>
      <c r="E850" s="208"/>
      <c r="F850" s="208"/>
      <c r="G850" s="208"/>
      <c r="H850" s="208"/>
      <c r="I850" s="208"/>
      <c r="J850" s="208"/>
      <c r="K850" s="208"/>
      <c r="L850" s="208"/>
      <c r="M850" s="208"/>
      <c r="N850" s="208"/>
      <c r="O850" s="208"/>
      <c r="P850" s="208"/>
      <c r="Q850" s="208"/>
      <c r="R850" s="208"/>
      <c r="S850" s="208"/>
      <c r="T850" s="208"/>
      <c r="U850" s="208"/>
      <c r="V850" s="208"/>
      <c r="W850" s="208"/>
      <c r="X850" s="208"/>
      <c r="Y850" s="208"/>
      <c r="Z850" s="208"/>
    </row>
    <row r="851" ht="12.0" customHeight="1">
      <c r="A851" s="208"/>
      <c r="B851" s="208"/>
      <c r="C851" s="208"/>
      <c r="D851" s="208"/>
      <c r="E851" s="208"/>
      <c r="F851" s="208"/>
      <c r="G851" s="208"/>
      <c r="H851" s="208"/>
      <c r="I851" s="208"/>
      <c r="J851" s="208"/>
      <c r="K851" s="208"/>
      <c r="L851" s="208"/>
      <c r="M851" s="208"/>
      <c r="N851" s="208"/>
      <c r="O851" s="208"/>
      <c r="P851" s="208"/>
      <c r="Q851" s="208"/>
      <c r="R851" s="208"/>
      <c r="S851" s="208"/>
      <c r="T851" s="208"/>
      <c r="U851" s="208"/>
      <c r="V851" s="208"/>
      <c r="W851" s="208"/>
      <c r="X851" s="208"/>
      <c r="Y851" s="208"/>
      <c r="Z851" s="208"/>
    </row>
    <row r="852" ht="12.0" customHeight="1">
      <c r="A852" s="208"/>
      <c r="B852" s="208"/>
      <c r="C852" s="208"/>
      <c r="D852" s="208"/>
      <c r="E852" s="208"/>
      <c r="F852" s="208"/>
      <c r="G852" s="208"/>
      <c r="H852" s="208"/>
      <c r="I852" s="208"/>
      <c r="J852" s="208"/>
      <c r="K852" s="208"/>
      <c r="L852" s="208"/>
      <c r="M852" s="208"/>
      <c r="N852" s="208"/>
      <c r="O852" s="208"/>
      <c r="P852" s="208"/>
      <c r="Q852" s="208"/>
      <c r="R852" s="208"/>
      <c r="S852" s="208"/>
      <c r="T852" s="208"/>
      <c r="U852" s="208"/>
      <c r="V852" s="208"/>
      <c r="W852" s="208"/>
      <c r="X852" s="208"/>
      <c r="Y852" s="208"/>
      <c r="Z852" s="208"/>
    </row>
    <row r="853" ht="12.0" customHeight="1">
      <c r="A853" s="208"/>
      <c r="B853" s="208"/>
      <c r="C853" s="208"/>
      <c r="D853" s="208"/>
      <c r="E853" s="208"/>
      <c r="F853" s="208"/>
      <c r="G853" s="208"/>
      <c r="H853" s="208"/>
      <c r="I853" s="208"/>
      <c r="J853" s="208"/>
      <c r="K853" s="208"/>
      <c r="L853" s="208"/>
      <c r="M853" s="208"/>
      <c r="N853" s="208"/>
      <c r="O853" s="208"/>
      <c r="P853" s="208"/>
      <c r="Q853" s="208"/>
      <c r="R853" s="208"/>
      <c r="S853" s="208"/>
      <c r="T853" s="208"/>
      <c r="U853" s="208"/>
      <c r="V853" s="208"/>
      <c r="W853" s="208"/>
      <c r="X853" s="208"/>
      <c r="Y853" s="208"/>
      <c r="Z853" s="208"/>
    </row>
    <row r="854" ht="12.0" customHeight="1">
      <c r="A854" s="208"/>
      <c r="B854" s="208"/>
      <c r="C854" s="208"/>
      <c r="D854" s="208"/>
      <c r="E854" s="208"/>
      <c r="F854" s="208"/>
      <c r="G854" s="208"/>
      <c r="H854" s="208"/>
      <c r="I854" s="208"/>
      <c r="J854" s="208"/>
      <c r="K854" s="208"/>
      <c r="L854" s="208"/>
      <c r="M854" s="208"/>
      <c r="N854" s="208"/>
      <c r="O854" s="208"/>
      <c r="P854" s="208"/>
      <c r="Q854" s="208"/>
      <c r="R854" s="208"/>
      <c r="S854" s="208"/>
      <c r="T854" s="208"/>
      <c r="U854" s="208"/>
      <c r="V854" s="208"/>
      <c r="W854" s="208"/>
      <c r="X854" s="208"/>
      <c r="Y854" s="208"/>
      <c r="Z854" s="208"/>
    </row>
    <row r="855" ht="12.0" customHeight="1">
      <c r="A855" s="208"/>
      <c r="B855" s="208"/>
      <c r="C855" s="208"/>
      <c r="D855" s="208"/>
      <c r="E855" s="208"/>
      <c r="F855" s="208"/>
      <c r="G855" s="208"/>
      <c r="H855" s="208"/>
      <c r="I855" s="208"/>
      <c r="J855" s="208"/>
      <c r="K855" s="208"/>
      <c r="L855" s="208"/>
      <c r="M855" s="208"/>
      <c r="N855" s="208"/>
      <c r="O855" s="208"/>
      <c r="P855" s="208"/>
      <c r="Q855" s="208"/>
      <c r="R855" s="208"/>
      <c r="S855" s="208"/>
      <c r="T855" s="208"/>
      <c r="U855" s="208"/>
      <c r="V855" s="208"/>
      <c r="W855" s="208"/>
      <c r="X855" s="208"/>
      <c r="Y855" s="208"/>
      <c r="Z855" s="208"/>
    </row>
    <row r="856" ht="12.0" customHeight="1">
      <c r="A856" s="208"/>
      <c r="B856" s="208"/>
      <c r="C856" s="208"/>
      <c r="D856" s="208"/>
      <c r="E856" s="208"/>
      <c r="F856" s="208"/>
      <c r="G856" s="208"/>
      <c r="H856" s="208"/>
      <c r="I856" s="208"/>
      <c r="J856" s="208"/>
      <c r="K856" s="208"/>
      <c r="L856" s="208"/>
      <c r="M856" s="208"/>
      <c r="N856" s="208"/>
      <c r="O856" s="208"/>
      <c r="P856" s="208"/>
      <c r="Q856" s="208"/>
      <c r="R856" s="208"/>
      <c r="S856" s="208"/>
      <c r="T856" s="208"/>
      <c r="U856" s="208"/>
      <c r="V856" s="208"/>
      <c r="W856" s="208"/>
      <c r="X856" s="208"/>
      <c r="Y856" s="208"/>
      <c r="Z856" s="208"/>
    </row>
    <row r="857" ht="12.0" customHeight="1">
      <c r="A857" s="208"/>
      <c r="B857" s="208"/>
      <c r="C857" s="208"/>
      <c r="D857" s="208"/>
      <c r="E857" s="208"/>
      <c r="F857" s="208"/>
      <c r="G857" s="208"/>
      <c r="H857" s="208"/>
      <c r="I857" s="208"/>
      <c r="J857" s="208"/>
      <c r="K857" s="208"/>
      <c r="L857" s="208"/>
      <c r="M857" s="208"/>
      <c r="N857" s="208"/>
      <c r="O857" s="208"/>
      <c r="P857" s="208"/>
      <c r="Q857" s="208"/>
      <c r="R857" s="208"/>
      <c r="S857" s="208"/>
      <c r="T857" s="208"/>
      <c r="U857" s="208"/>
      <c r="V857" s="208"/>
      <c r="W857" s="208"/>
      <c r="X857" s="208"/>
      <c r="Y857" s="208"/>
      <c r="Z857" s="208"/>
    </row>
    <row r="858" ht="12.0" customHeight="1">
      <c r="A858" s="208"/>
      <c r="B858" s="208"/>
      <c r="C858" s="208"/>
      <c r="D858" s="208"/>
      <c r="E858" s="208"/>
      <c r="F858" s="208"/>
      <c r="G858" s="208"/>
      <c r="H858" s="208"/>
      <c r="I858" s="208"/>
      <c r="J858" s="208"/>
      <c r="K858" s="208"/>
      <c r="L858" s="208"/>
      <c r="M858" s="208"/>
      <c r="N858" s="208"/>
      <c r="O858" s="208"/>
      <c r="P858" s="208"/>
      <c r="Q858" s="208"/>
      <c r="R858" s="208"/>
      <c r="S858" s="208"/>
      <c r="T858" s="208"/>
      <c r="U858" s="208"/>
      <c r="V858" s="208"/>
      <c r="W858" s="208"/>
      <c r="X858" s="208"/>
      <c r="Y858" s="208"/>
      <c r="Z858" s="208"/>
    </row>
    <row r="859" ht="12.0" customHeight="1">
      <c r="A859" s="208"/>
      <c r="B859" s="208"/>
      <c r="C859" s="208"/>
      <c r="D859" s="208"/>
      <c r="E859" s="208"/>
      <c r="F859" s="208"/>
      <c r="G859" s="208"/>
      <c r="H859" s="208"/>
      <c r="I859" s="208"/>
      <c r="J859" s="208"/>
      <c r="K859" s="208"/>
      <c r="L859" s="208"/>
      <c r="M859" s="208"/>
      <c r="N859" s="208"/>
      <c r="O859" s="208"/>
      <c r="P859" s="208"/>
      <c r="Q859" s="208"/>
      <c r="R859" s="208"/>
      <c r="S859" s="208"/>
      <c r="T859" s="208"/>
      <c r="U859" s="208"/>
      <c r="V859" s="208"/>
      <c r="W859" s="208"/>
      <c r="X859" s="208"/>
      <c r="Y859" s="208"/>
      <c r="Z859" s="208"/>
    </row>
    <row r="860" ht="12.0" customHeight="1">
      <c r="A860" s="208"/>
      <c r="B860" s="208"/>
      <c r="C860" s="208"/>
      <c r="D860" s="208"/>
      <c r="E860" s="208"/>
      <c r="F860" s="208"/>
      <c r="G860" s="208"/>
      <c r="H860" s="208"/>
      <c r="I860" s="208"/>
      <c r="J860" s="208"/>
      <c r="K860" s="208"/>
      <c r="L860" s="208"/>
      <c r="M860" s="208"/>
      <c r="N860" s="208"/>
      <c r="O860" s="208"/>
      <c r="P860" s="208"/>
      <c r="Q860" s="208"/>
      <c r="R860" s="208"/>
      <c r="S860" s="208"/>
      <c r="T860" s="208"/>
      <c r="U860" s="208"/>
      <c r="V860" s="208"/>
      <c r="W860" s="208"/>
      <c r="X860" s="208"/>
      <c r="Y860" s="208"/>
      <c r="Z860" s="208"/>
    </row>
    <row r="861" ht="12.0" customHeight="1">
      <c r="A861" s="208"/>
      <c r="B861" s="208"/>
      <c r="C861" s="208"/>
      <c r="D861" s="208"/>
      <c r="E861" s="208"/>
      <c r="F861" s="208"/>
      <c r="G861" s="208"/>
      <c r="H861" s="208"/>
      <c r="I861" s="208"/>
      <c r="J861" s="208"/>
      <c r="K861" s="208"/>
      <c r="L861" s="208"/>
      <c r="M861" s="208"/>
      <c r="N861" s="208"/>
      <c r="O861" s="208"/>
      <c r="P861" s="208"/>
      <c r="Q861" s="208"/>
      <c r="R861" s="208"/>
      <c r="S861" s="208"/>
      <c r="T861" s="208"/>
      <c r="U861" s="208"/>
      <c r="V861" s="208"/>
      <c r="W861" s="208"/>
      <c r="X861" s="208"/>
      <c r="Y861" s="208"/>
      <c r="Z861" s="208"/>
    </row>
    <row r="862" ht="12.0" customHeight="1">
      <c r="A862" s="208"/>
      <c r="B862" s="208"/>
      <c r="C862" s="208"/>
      <c r="D862" s="208"/>
      <c r="E862" s="208"/>
      <c r="F862" s="208"/>
      <c r="G862" s="208"/>
      <c r="H862" s="208"/>
      <c r="I862" s="208"/>
      <c r="J862" s="208"/>
      <c r="K862" s="208"/>
      <c r="L862" s="208"/>
      <c r="M862" s="208"/>
      <c r="N862" s="208"/>
      <c r="O862" s="208"/>
      <c r="P862" s="208"/>
      <c r="Q862" s="208"/>
      <c r="R862" s="208"/>
      <c r="S862" s="208"/>
      <c r="T862" s="208"/>
      <c r="U862" s="208"/>
      <c r="V862" s="208"/>
      <c r="W862" s="208"/>
      <c r="X862" s="208"/>
      <c r="Y862" s="208"/>
      <c r="Z862" s="208"/>
    </row>
    <row r="863" ht="12.0" customHeight="1">
      <c r="A863" s="208"/>
      <c r="B863" s="208"/>
      <c r="C863" s="208"/>
      <c r="D863" s="208"/>
      <c r="E863" s="208"/>
      <c r="F863" s="208"/>
      <c r="G863" s="208"/>
      <c r="H863" s="208"/>
      <c r="I863" s="208"/>
      <c r="J863" s="208"/>
      <c r="K863" s="208"/>
      <c r="L863" s="208"/>
      <c r="M863" s="208"/>
      <c r="N863" s="208"/>
      <c r="O863" s="208"/>
      <c r="P863" s="208"/>
      <c r="Q863" s="208"/>
      <c r="R863" s="208"/>
      <c r="S863" s="208"/>
      <c r="T863" s="208"/>
      <c r="U863" s="208"/>
      <c r="V863" s="208"/>
      <c r="W863" s="208"/>
      <c r="X863" s="208"/>
      <c r="Y863" s="208"/>
      <c r="Z863" s="208"/>
    </row>
    <row r="864" ht="12.0" customHeight="1">
      <c r="A864" s="208"/>
      <c r="B864" s="208"/>
      <c r="C864" s="208"/>
      <c r="D864" s="208"/>
      <c r="E864" s="208"/>
      <c r="F864" s="208"/>
      <c r="G864" s="208"/>
      <c r="H864" s="208"/>
      <c r="I864" s="208"/>
      <c r="J864" s="208"/>
      <c r="K864" s="208"/>
      <c r="L864" s="208"/>
      <c r="M864" s="208"/>
      <c r="N864" s="208"/>
      <c r="O864" s="208"/>
      <c r="P864" s="208"/>
      <c r="Q864" s="208"/>
      <c r="R864" s="208"/>
      <c r="S864" s="208"/>
      <c r="T864" s="208"/>
      <c r="U864" s="208"/>
      <c r="V864" s="208"/>
      <c r="W864" s="208"/>
      <c r="X864" s="208"/>
      <c r="Y864" s="208"/>
      <c r="Z864" s="208"/>
    </row>
    <row r="865" ht="12.0" customHeight="1">
      <c r="A865" s="208"/>
      <c r="B865" s="208"/>
      <c r="C865" s="208"/>
      <c r="D865" s="208"/>
      <c r="E865" s="208"/>
      <c r="F865" s="208"/>
      <c r="G865" s="208"/>
      <c r="H865" s="208"/>
      <c r="I865" s="208"/>
      <c r="J865" s="208"/>
      <c r="K865" s="208"/>
      <c r="L865" s="208"/>
      <c r="M865" s="208"/>
      <c r="N865" s="208"/>
      <c r="O865" s="208"/>
      <c r="P865" s="208"/>
      <c r="Q865" s="208"/>
      <c r="R865" s="208"/>
      <c r="S865" s="208"/>
      <c r="T865" s="208"/>
      <c r="U865" s="208"/>
      <c r="V865" s="208"/>
      <c r="W865" s="208"/>
      <c r="X865" s="208"/>
      <c r="Y865" s="208"/>
      <c r="Z865" s="208"/>
    </row>
    <row r="866" ht="12.0" customHeight="1">
      <c r="A866" s="208"/>
      <c r="B866" s="208"/>
      <c r="C866" s="208"/>
      <c r="D866" s="208"/>
      <c r="E866" s="208"/>
      <c r="F866" s="208"/>
      <c r="G866" s="208"/>
      <c r="H866" s="208"/>
      <c r="I866" s="208"/>
      <c r="J866" s="208"/>
      <c r="K866" s="208"/>
      <c r="L866" s="208"/>
      <c r="M866" s="208"/>
      <c r="N866" s="208"/>
      <c r="O866" s="208"/>
      <c r="P866" s="208"/>
      <c r="Q866" s="208"/>
      <c r="R866" s="208"/>
      <c r="S866" s="208"/>
      <c r="T866" s="208"/>
      <c r="U866" s="208"/>
      <c r="V866" s="208"/>
      <c r="W866" s="208"/>
      <c r="X866" s="208"/>
      <c r="Y866" s="208"/>
      <c r="Z866" s="208"/>
    </row>
    <row r="867" ht="12.0" customHeight="1">
      <c r="A867" s="208"/>
      <c r="B867" s="208"/>
      <c r="C867" s="208"/>
      <c r="D867" s="208"/>
      <c r="E867" s="208"/>
      <c r="F867" s="208"/>
      <c r="G867" s="208"/>
      <c r="H867" s="208"/>
      <c r="I867" s="208"/>
      <c r="J867" s="208"/>
      <c r="K867" s="208"/>
      <c r="L867" s="208"/>
      <c r="M867" s="208"/>
      <c r="N867" s="208"/>
      <c r="O867" s="208"/>
      <c r="P867" s="208"/>
      <c r="Q867" s="208"/>
      <c r="R867" s="208"/>
      <c r="S867" s="208"/>
      <c r="T867" s="208"/>
      <c r="U867" s="208"/>
      <c r="V867" s="208"/>
      <c r="W867" s="208"/>
      <c r="X867" s="208"/>
      <c r="Y867" s="208"/>
      <c r="Z867" s="208"/>
    </row>
    <row r="868" ht="12.0" customHeight="1">
      <c r="A868" s="208"/>
      <c r="B868" s="208"/>
      <c r="C868" s="208"/>
      <c r="D868" s="208"/>
      <c r="E868" s="208"/>
      <c r="F868" s="208"/>
      <c r="G868" s="208"/>
      <c r="H868" s="208"/>
      <c r="I868" s="208"/>
      <c r="J868" s="208"/>
      <c r="K868" s="208"/>
      <c r="L868" s="208"/>
      <c r="M868" s="208"/>
      <c r="N868" s="208"/>
      <c r="O868" s="208"/>
      <c r="P868" s="208"/>
      <c r="Q868" s="208"/>
      <c r="R868" s="208"/>
      <c r="S868" s="208"/>
      <c r="T868" s="208"/>
      <c r="U868" s="208"/>
      <c r="V868" s="208"/>
      <c r="W868" s="208"/>
      <c r="X868" s="208"/>
      <c r="Y868" s="208"/>
      <c r="Z868" s="208"/>
    </row>
    <row r="869" ht="12.0" customHeight="1">
      <c r="A869" s="208"/>
      <c r="B869" s="208"/>
      <c r="C869" s="208"/>
      <c r="D869" s="208"/>
      <c r="E869" s="208"/>
      <c r="F869" s="208"/>
      <c r="G869" s="208"/>
      <c r="H869" s="208"/>
      <c r="I869" s="208"/>
      <c r="J869" s="208"/>
      <c r="K869" s="208"/>
      <c r="L869" s="208"/>
      <c r="M869" s="208"/>
      <c r="N869" s="208"/>
      <c r="O869" s="208"/>
      <c r="P869" s="208"/>
      <c r="Q869" s="208"/>
      <c r="R869" s="208"/>
      <c r="S869" s="208"/>
      <c r="T869" s="208"/>
      <c r="U869" s="208"/>
      <c r="V869" s="208"/>
      <c r="W869" s="208"/>
      <c r="X869" s="208"/>
      <c r="Y869" s="208"/>
      <c r="Z869" s="208"/>
    </row>
    <row r="870" ht="12.0" customHeight="1">
      <c r="A870" s="208"/>
      <c r="B870" s="208"/>
      <c r="C870" s="208"/>
      <c r="D870" s="208"/>
      <c r="E870" s="208"/>
      <c r="F870" s="208"/>
      <c r="G870" s="208"/>
      <c r="H870" s="208"/>
      <c r="I870" s="208"/>
      <c r="J870" s="208"/>
      <c r="K870" s="208"/>
      <c r="L870" s="208"/>
      <c r="M870" s="208"/>
      <c r="N870" s="208"/>
      <c r="O870" s="208"/>
      <c r="P870" s="208"/>
      <c r="Q870" s="208"/>
      <c r="R870" s="208"/>
      <c r="S870" s="208"/>
      <c r="T870" s="208"/>
      <c r="U870" s="208"/>
      <c r="V870" s="208"/>
      <c r="W870" s="208"/>
      <c r="X870" s="208"/>
      <c r="Y870" s="208"/>
      <c r="Z870" s="208"/>
    </row>
    <row r="871" ht="12.0" customHeight="1">
      <c r="A871" s="208"/>
      <c r="B871" s="208"/>
      <c r="C871" s="208"/>
      <c r="D871" s="208"/>
      <c r="E871" s="208"/>
      <c r="F871" s="208"/>
      <c r="G871" s="208"/>
      <c r="H871" s="208"/>
      <c r="I871" s="208"/>
      <c r="J871" s="208"/>
      <c r="K871" s="208"/>
      <c r="L871" s="208"/>
      <c r="M871" s="208"/>
      <c r="N871" s="208"/>
      <c r="O871" s="208"/>
      <c r="P871" s="208"/>
      <c r="Q871" s="208"/>
      <c r="R871" s="208"/>
      <c r="S871" s="208"/>
      <c r="T871" s="208"/>
      <c r="U871" s="208"/>
      <c r="V871" s="208"/>
      <c r="W871" s="208"/>
      <c r="X871" s="208"/>
      <c r="Y871" s="208"/>
      <c r="Z871" s="208"/>
    </row>
    <row r="872" ht="12.0" customHeight="1">
      <c r="A872" s="208"/>
      <c r="B872" s="208"/>
      <c r="C872" s="208"/>
      <c r="D872" s="208"/>
      <c r="E872" s="208"/>
      <c r="F872" s="208"/>
      <c r="G872" s="208"/>
      <c r="H872" s="208"/>
      <c r="I872" s="208"/>
      <c r="J872" s="208"/>
      <c r="K872" s="208"/>
      <c r="L872" s="208"/>
      <c r="M872" s="208"/>
      <c r="N872" s="208"/>
      <c r="O872" s="208"/>
      <c r="P872" s="208"/>
      <c r="Q872" s="208"/>
      <c r="R872" s="208"/>
      <c r="S872" s="208"/>
      <c r="T872" s="208"/>
      <c r="U872" s="208"/>
      <c r="V872" s="208"/>
      <c r="W872" s="208"/>
      <c r="X872" s="208"/>
      <c r="Y872" s="208"/>
      <c r="Z872" s="208"/>
    </row>
    <row r="873" ht="12.0" customHeight="1">
      <c r="A873" s="208"/>
      <c r="B873" s="208"/>
      <c r="C873" s="208"/>
      <c r="D873" s="208"/>
      <c r="E873" s="208"/>
      <c r="F873" s="208"/>
      <c r="G873" s="208"/>
      <c r="H873" s="208"/>
      <c r="I873" s="208"/>
      <c r="J873" s="208"/>
      <c r="K873" s="208"/>
      <c r="L873" s="208"/>
      <c r="M873" s="208"/>
      <c r="N873" s="208"/>
      <c r="O873" s="208"/>
      <c r="P873" s="208"/>
      <c r="Q873" s="208"/>
      <c r="R873" s="208"/>
      <c r="S873" s="208"/>
      <c r="T873" s="208"/>
      <c r="U873" s="208"/>
      <c r="V873" s="208"/>
      <c r="W873" s="208"/>
      <c r="X873" s="208"/>
      <c r="Y873" s="208"/>
      <c r="Z873" s="208"/>
    </row>
    <row r="874" ht="12.0" customHeight="1">
      <c r="A874" s="208"/>
      <c r="B874" s="208"/>
      <c r="C874" s="208"/>
      <c r="D874" s="208"/>
      <c r="E874" s="208"/>
      <c r="F874" s="208"/>
      <c r="G874" s="208"/>
      <c r="H874" s="208"/>
      <c r="I874" s="208"/>
      <c r="J874" s="208"/>
      <c r="K874" s="208"/>
      <c r="L874" s="208"/>
      <c r="M874" s="208"/>
      <c r="N874" s="208"/>
      <c r="O874" s="208"/>
      <c r="P874" s="208"/>
      <c r="Q874" s="208"/>
      <c r="R874" s="208"/>
      <c r="S874" s="208"/>
      <c r="T874" s="208"/>
      <c r="U874" s="208"/>
      <c r="V874" s="208"/>
      <c r="W874" s="208"/>
      <c r="X874" s="208"/>
      <c r="Y874" s="208"/>
      <c r="Z874" s="208"/>
    </row>
    <row r="875" ht="12.0" customHeight="1">
      <c r="A875" s="208"/>
      <c r="B875" s="208"/>
      <c r="C875" s="208"/>
      <c r="D875" s="208"/>
      <c r="E875" s="208"/>
      <c r="F875" s="208"/>
      <c r="G875" s="208"/>
      <c r="H875" s="208"/>
      <c r="I875" s="208"/>
      <c r="J875" s="208"/>
      <c r="K875" s="208"/>
      <c r="L875" s="208"/>
      <c r="M875" s="208"/>
      <c r="N875" s="208"/>
      <c r="O875" s="208"/>
      <c r="P875" s="208"/>
      <c r="Q875" s="208"/>
      <c r="R875" s="208"/>
      <c r="S875" s="208"/>
      <c r="T875" s="208"/>
      <c r="U875" s="208"/>
      <c r="V875" s="208"/>
      <c r="W875" s="208"/>
      <c r="X875" s="208"/>
      <c r="Y875" s="208"/>
      <c r="Z875" s="208"/>
    </row>
    <row r="876" ht="12.0" customHeight="1">
      <c r="A876" s="208"/>
      <c r="B876" s="208"/>
      <c r="C876" s="208"/>
      <c r="D876" s="208"/>
      <c r="E876" s="208"/>
      <c r="F876" s="208"/>
      <c r="G876" s="208"/>
      <c r="H876" s="208"/>
      <c r="I876" s="208"/>
      <c r="J876" s="208"/>
      <c r="K876" s="208"/>
      <c r="L876" s="208"/>
      <c r="M876" s="208"/>
      <c r="N876" s="208"/>
      <c r="O876" s="208"/>
      <c r="P876" s="208"/>
      <c r="Q876" s="208"/>
      <c r="R876" s="208"/>
      <c r="S876" s="208"/>
      <c r="T876" s="208"/>
      <c r="U876" s="208"/>
      <c r="V876" s="208"/>
      <c r="W876" s="208"/>
      <c r="X876" s="208"/>
      <c r="Y876" s="208"/>
      <c r="Z876" s="208"/>
    </row>
    <row r="877" ht="12.0" customHeight="1">
      <c r="A877" s="208"/>
      <c r="B877" s="208"/>
      <c r="C877" s="208"/>
      <c r="D877" s="208"/>
      <c r="E877" s="208"/>
      <c r="F877" s="208"/>
      <c r="G877" s="208"/>
      <c r="H877" s="208"/>
      <c r="I877" s="208"/>
      <c r="J877" s="208"/>
      <c r="K877" s="208"/>
      <c r="L877" s="208"/>
      <c r="M877" s="208"/>
      <c r="N877" s="208"/>
      <c r="O877" s="208"/>
      <c r="P877" s="208"/>
      <c r="Q877" s="208"/>
      <c r="R877" s="208"/>
      <c r="S877" s="208"/>
      <c r="T877" s="208"/>
      <c r="U877" s="208"/>
      <c r="V877" s="208"/>
      <c r="W877" s="208"/>
      <c r="X877" s="208"/>
      <c r="Y877" s="208"/>
      <c r="Z877" s="208"/>
    </row>
    <row r="878" ht="12.0" customHeight="1">
      <c r="A878" s="208"/>
      <c r="B878" s="208"/>
      <c r="C878" s="208"/>
      <c r="D878" s="208"/>
      <c r="E878" s="208"/>
      <c r="F878" s="208"/>
      <c r="G878" s="208"/>
      <c r="H878" s="208"/>
      <c r="I878" s="208"/>
      <c r="J878" s="208"/>
      <c r="K878" s="208"/>
      <c r="L878" s="208"/>
      <c r="M878" s="208"/>
      <c r="N878" s="208"/>
      <c r="O878" s="208"/>
      <c r="P878" s="208"/>
      <c r="Q878" s="208"/>
      <c r="R878" s="208"/>
      <c r="S878" s="208"/>
      <c r="T878" s="208"/>
      <c r="U878" s="208"/>
      <c r="V878" s="208"/>
      <c r="W878" s="208"/>
      <c r="X878" s="208"/>
      <c r="Y878" s="208"/>
      <c r="Z878" s="208"/>
    </row>
    <row r="879" ht="12.0" customHeight="1">
      <c r="A879" s="208"/>
      <c r="B879" s="208"/>
      <c r="C879" s="208"/>
      <c r="D879" s="208"/>
      <c r="E879" s="208"/>
      <c r="F879" s="208"/>
      <c r="G879" s="208"/>
      <c r="H879" s="208"/>
      <c r="I879" s="208"/>
      <c r="J879" s="208"/>
      <c r="K879" s="208"/>
      <c r="L879" s="208"/>
      <c r="M879" s="208"/>
      <c r="N879" s="208"/>
      <c r="O879" s="208"/>
      <c r="P879" s="208"/>
      <c r="Q879" s="208"/>
      <c r="R879" s="208"/>
      <c r="S879" s="208"/>
      <c r="T879" s="208"/>
      <c r="U879" s="208"/>
      <c r="V879" s="208"/>
      <c r="W879" s="208"/>
      <c r="X879" s="208"/>
      <c r="Y879" s="208"/>
      <c r="Z879" s="208"/>
    </row>
    <row r="880" ht="12.0" customHeight="1">
      <c r="A880" s="208"/>
      <c r="B880" s="208"/>
      <c r="C880" s="208"/>
      <c r="D880" s="208"/>
      <c r="E880" s="208"/>
      <c r="F880" s="208"/>
      <c r="G880" s="208"/>
      <c r="H880" s="208"/>
      <c r="I880" s="208"/>
      <c r="J880" s="208"/>
      <c r="K880" s="208"/>
      <c r="L880" s="208"/>
      <c r="M880" s="208"/>
      <c r="N880" s="208"/>
      <c r="O880" s="208"/>
      <c r="P880" s="208"/>
      <c r="Q880" s="208"/>
      <c r="R880" s="208"/>
      <c r="S880" s="208"/>
      <c r="T880" s="208"/>
      <c r="U880" s="208"/>
      <c r="V880" s="208"/>
      <c r="W880" s="208"/>
      <c r="X880" s="208"/>
      <c r="Y880" s="208"/>
      <c r="Z880" s="208"/>
    </row>
    <row r="881" ht="12.0" customHeight="1">
      <c r="A881" s="208"/>
      <c r="B881" s="208"/>
      <c r="C881" s="208"/>
      <c r="D881" s="208"/>
      <c r="E881" s="208"/>
      <c r="F881" s="208"/>
      <c r="G881" s="208"/>
      <c r="H881" s="208"/>
      <c r="I881" s="208"/>
      <c r="J881" s="208"/>
      <c r="K881" s="208"/>
      <c r="L881" s="208"/>
      <c r="M881" s="208"/>
      <c r="N881" s="208"/>
      <c r="O881" s="208"/>
      <c r="P881" s="208"/>
      <c r="Q881" s="208"/>
      <c r="R881" s="208"/>
      <c r="S881" s="208"/>
      <c r="T881" s="208"/>
      <c r="U881" s="208"/>
      <c r="V881" s="208"/>
      <c r="W881" s="208"/>
      <c r="X881" s="208"/>
      <c r="Y881" s="208"/>
      <c r="Z881" s="208"/>
    </row>
    <row r="882" ht="12.0" customHeight="1">
      <c r="A882" s="208"/>
      <c r="B882" s="208"/>
      <c r="C882" s="208"/>
      <c r="D882" s="208"/>
      <c r="E882" s="208"/>
      <c r="F882" s="208"/>
      <c r="G882" s="208"/>
      <c r="H882" s="208"/>
      <c r="I882" s="208"/>
      <c r="J882" s="208"/>
      <c r="K882" s="208"/>
      <c r="L882" s="208"/>
      <c r="M882" s="208"/>
      <c r="N882" s="208"/>
      <c r="O882" s="208"/>
      <c r="P882" s="208"/>
      <c r="Q882" s="208"/>
      <c r="R882" s="208"/>
      <c r="S882" s="208"/>
      <c r="T882" s="208"/>
      <c r="U882" s="208"/>
      <c r="V882" s="208"/>
      <c r="W882" s="208"/>
      <c r="X882" s="208"/>
      <c r="Y882" s="208"/>
      <c r="Z882" s="208"/>
    </row>
    <row r="883" ht="12.0" customHeight="1">
      <c r="A883" s="208"/>
      <c r="B883" s="208"/>
      <c r="C883" s="208"/>
      <c r="D883" s="208"/>
      <c r="E883" s="208"/>
      <c r="F883" s="208"/>
      <c r="G883" s="208"/>
      <c r="H883" s="208"/>
      <c r="I883" s="208"/>
      <c r="J883" s="208"/>
      <c r="K883" s="208"/>
      <c r="L883" s="208"/>
      <c r="M883" s="208"/>
      <c r="N883" s="208"/>
      <c r="O883" s="208"/>
      <c r="P883" s="208"/>
      <c r="Q883" s="208"/>
      <c r="R883" s="208"/>
      <c r="S883" s="208"/>
      <c r="T883" s="208"/>
      <c r="U883" s="208"/>
      <c r="V883" s="208"/>
      <c r="W883" s="208"/>
      <c r="X883" s="208"/>
      <c r="Y883" s="208"/>
      <c r="Z883" s="208"/>
    </row>
    <row r="884" ht="12.0" customHeight="1">
      <c r="A884" s="208"/>
      <c r="B884" s="208"/>
      <c r="C884" s="208"/>
      <c r="D884" s="208"/>
      <c r="E884" s="208"/>
      <c r="F884" s="208"/>
      <c r="G884" s="208"/>
      <c r="H884" s="208"/>
      <c r="I884" s="208"/>
      <c r="J884" s="208"/>
      <c r="K884" s="208"/>
      <c r="L884" s="208"/>
      <c r="M884" s="208"/>
      <c r="N884" s="208"/>
      <c r="O884" s="208"/>
      <c r="P884" s="208"/>
      <c r="Q884" s="208"/>
      <c r="R884" s="208"/>
      <c r="S884" s="208"/>
      <c r="T884" s="208"/>
      <c r="U884" s="208"/>
      <c r="V884" s="208"/>
      <c r="W884" s="208"/>
      <c r="X884" s="208"/>
      <c r="Y884" s="208"/>
      <c r="Z884" s="208"/>
    </row>
    <row r="885" ht="12.0" customHeight="1">
      <c r="A885" s="208"/>
      <c r="B885" s="208"/>
      <c r="C885" s="208"/>
      <c r="D885" s="208"/>
      <c r="E885" s="208"/>
      <c r="F885" s="208"/>
      <c r="G885" s="208"/>
      <c r="H885" s="208"/>
      <c r="I885" s="208"/>
      <c r="J885" s="208"/>
      <c r="K885" s="208"/>
      <c r="L885" s="208"/>
      <c r="M885" s="208"/>
      <c r="N885" s="208"/>
      <c r="O885" s="208"/>
      <c r="P885" s="208"/>
      <c r="Q885" s="208"/>
      <c r="R885" s="208"/>
      <c r="S885" s="208"/>
      <c r="T885" s="208"/>
      <c r="U885" s="208"/>
      <c r="V885" s="208"/>
      <c r="W885" s="208"/>
      <c r="X885" s="208"/>
      <c r="Y885" s="208"/>
      <c r="Z885" s="208"/>
    </row>
    <row r="886" ht="12.0" customHeight="1">
      <c r="A886" s="208"/>
      <c r="B886" s="208"/>
      <c r="C886" s="208"/>
      <c r="D886" s="208"/>
      <c r="E886" s="208"/>
      <c r="F886" s="208"/>
      <c r="G886" s="208"/>
      <c r="H886" s="208"/>
      <c r="I886" s="208"/>
      <c r="J886" s="208"/>
      <c r="K886" s="208"/>
      <c r="L886" s="208"/>
      <c r="M886" s="208"/>
      <c r="N886" s="208"/>
      <c r="O886" s="208"/>
      <c r="P886" s="208"/>
      <c r="Q886" s="208"/>
      <c r="R886" s="208"/>
      <c r="S886" s="208"/>
      <c r="T886" s="208"/>
      <c r="U886" s="208"/>
      <c r="V886" s="208"/>
      <c r="W886" s="208"/>
      <c r="X886" s="208"/>
      <c r="Y886" s="208"/>
      <c r="Z886" s="208"/>
    </row>
    <row r="887" ht="12.0" customHeight="1">
      <c r="A887" s="208"/>
      <c r="B887" s="208"/>
      <c r="C887" s="208"/>
      <c r="D887" s="208"/>
      <c r="E887" s="208"/>
      <c r="F887" s="208"/>
      <c r="G887" s="208"/>
      <c r="H887" s="208"/>
      <c r="I887" s="208"/>
      <c r="J887" s="208"/>
      <c r="K887" s="208"/>
      <c r="L887" s="208"/>
      <c r="M887" s="208"/>
      <c r="N887" s="208"/>
      <c r="O887" s="208"/>
      <c r="P887" s="208"/>
      <c r="Q887" s="208"/>
      <c r="R887" s="208"/>
      <c r="S887" s="208"/>
      <c r="T887" s="208"/>
      <c r="U887" s="208"/>
      <c r="V887" s="208"/>
      <c r="W887" s="208"/>
      <c r="X887" s="208"/>
      <c r="Y887" s="208"/>
      <c r="Z887" s="208"/>
    </row>
    <row r="888" ht="12.0" customHeight="1">
      <c r="A888" s="208"/>
      <c r="B888" s="208"/>
      <c r="C888" s="208"/>
      <c r="D888" s="208"/>
      <c r="E888" s="208"/>
      <c r="F888" s="208"/>
      <c r="G888" s="208"/>
      <c r="H888" s="208"/>
      <c r="I888" s="208"/>
      <c r="J888" s="208"/>
      <c r="K888" s="208"/>
      <c r="L888" s="208"/>
      <c r="M888" s="208"/>
      <c r="N888" s="208"/>
      <c r="O888" s="208"/>
      <c r="P888" s="208"/>
      <c r="Q888" s="208"/>
      <c r="R888" s="208"/>
      <c r="S888" s="208"/>
      <c r="T888" s="208"/>
      <c r="U888" s="208"/>
      <c r="V888" s="208"/>
      <c r="W888" s="208"/>
      <c r="X888" s="208"/>
      <c r="Y888" s="208"/>
      <c r="Z888" s="208"/>
    </row>
    <row r="889" ht="12.0" customHeight="1">
      <c r="A889" s="208"/>
      <c r="B889" s="208"/>
      <c r="C889" s="208"/>
      <c r="D889" s="208"/>
      <c r="E889" s="208"/>
      <c r="F889" s="208"/>
      <c r="G889" s="208"/>
      <c r="H889" s="208"/>
      <c r="I889" s="208"/>
      <c r="J889" s="208"/>
      <c r="K889" s="208"/>
      <c r="L889" s="208"/>
      <c r="M889" s="208"/>
      <c r="N889" s="208"/>
      <c r="O889" s="208"/>
      <c r="P889" s="208"/>
      <c r="Q889" s="208"/>
      <c r="R889" s="208"/>
      <c r="S889" s="208"/>
      <c r="T889" s="208"/>
      <c r="U889" s="208"/>
      <c r="V889" s="208"/>
      <c r="W889" s="208"/>
      <c r="X889" s="208"/>
      <c r="Y889" s="208"/>
      <c r="Z889" s="208"/>
    </row>
    <row r="890" ht="12.0" customHeight="1">
      <c r="A890" s="208"/>
      <c r="B890" s="208"/>
      <c r="C890" s="208"/>
      <c r="D890" s="208"/>
      <c r="E890" s="208"/>
      <c r="F890" s="208"/>
      <c r="G890" s="208"/>
      <c r="H890" s="208"/>
      <c r="I890" s="208"/>
      <c r="J890" s="208"/>
      <c r="K890" s="208"/>
      <c r="L890" s="208"/>
      <c r="M890" s="208"/>
      <c r="N890" s="208"/>
      <c r="O890" s="208"/>
      <c r="P890" s="208"/>
      <c r="Q890" s="208"/>
      <c r="R890" s="208"/>
      <c r="S890" s="208"/>
      <c r="T890" s="208"/>
      <c r="U890" s="208"/>
      <c r="V890" s="208"/>
      <c r="W890" s="208"/>
      <c r="X890" s="208"/>
      <c r="Y890" s="208"/>
      <c r="Z890" s="208"/>
    </row>
    <row r="891" ht="12.0" customHeight="1">
      <c r="A891" s="208"/>
      <c r="B891" s="208"/>
      <c r="C891" s="208"/>
      <c r="D891" s="208"/>
      <c r="E891" s="208"/>
      <c r="F891" s="208"/>
      <c r="G891" s="208"/>
      <c r="H891" s="208"/>
      <c r="I891" s="208"/>
      <c r="J891" s="208"/>
      <c r="K891" s="208"/>
      <c r="L891" s="208"/>
      <c r="M891" s="208"/>
      <c r="N891" s="208"/>
      <c r="O891" s="208"/>
      <c r="P891" s="208"/>
      <c r="Q891" s="208"/>
      <c r="R891" s="208"/>
      <c r="S891" s="208"/>
      <c r="T891" s="208"/>
      <c r="U891" s="208"/>
      <c r="V891" s="208"/>
      <c r="W891" s="208"/>
      <c r="X891" s="208"/>
      <c r="Y891" s="208"/>
      <c r="Z891" s="208"/>
    </row>
    <row r="892" ht="12.0" customHeight="1">
      <c r="A892" s="208"/>
      <c r="B892" s="208"/>
      <c r="C892" s="208"/>
      <c r="D892" s="208"/>
      <c r="E892" s="208"/>
      <c r="F892" s="208"/>
      <c r="G892" s="208"/>
      <c r="H892" s="208"/>
      <c r="I892" s="208"/>
      <c r="J892" s="208"/>
      <c r="K892" s="208"/>
      <c r="L892" s="208"/>
      <c r="M892" s="208"/>
      <c r="N892" s="208"/>
      <c r="O892" s="208"/>
      <c r="P892" s="208"/>
      <c r="Q892" s="208"/>
      <c r="R892" s="208"/>
      <c r="S892" s="208"/>
      <c r="T892" s="208"/>
      <c r="U892" s="208"/>
      <c r="V892" s="208"/>
      <c r="W892" s="208"/>
      <c r="X892" s="208"/>
      <c r="Y892" s="208"/>
      <c r="Z892" s="208"/>
    </row>
    <row r="893" ht="12.0" customHeight="1">
      <c r="A893" s="208"/>
      <c r="B893" s="208"/>
      <c r="C893" s="208"/>
      <c r="D893" s="208"/>
      <c r="E893" s="208"/>
      <c r="F893" s="208"/>
      <c r="G893" s="208"/>
      <c r="H893" s="208"/>
      <c r="I893" s="208"/>
      <c r="J893" s="208"/>
      <c r="K893" s="208"/>
      <c r="L893" s="208"/>
      <c r="M893" s="208"/>
      <c r="N893" s="208"/>
      <c r="O893" s="208"/>
      <c r="P893" s="208"/>
      <c r="Q893" s="208"/>
      <c r="R893" s="208"/>
      <c r="S893" s="208"/>
      <c r="T893" s="208"/>
      <c r="U893" s="208"/>
      <c r="V893" s="208"/>
      <c r="W893" s="208"/>
      <c r="X893" s="208"/>
      <c r="Y893" s="208"/>
      <c r="Z893" s="208"/>
    </row>
    <row r="894" ht="12.0" customHeight="1">
      <c r="A894" s="208"/>
      <c r="B894" s="208"/>
      <c r="C894" s="208"/>
      <c r="D894" s="208"/>
      <c r="E894" s="208"/>
      <c r="F894" s="208"/>
      <c r="G894" s="208"/>
      <c r="H894" s="208"/>
      <c r="I894" s="208"/>
      <c r="J894" s="208"/>
      <c r="K894" s="208"/>
      <c r="L894" s="208"/>
      <c r="M894" s="208"/>
      <c r="N894" s="208"/>
      <c r="O894" s="208"/>
      <c r="P894" s="208"/>
      <c r="Q894" s="208"/>
      <c r="R894" s="208"/>
      <c r="S894" s="208"/>
      <c r="T894" s="208"/>
      <c r="U894" s="208"/>
      <c r="V894" s="208"/>
      <c r="W894" s="208"/>
      <c r="X894" s="208"/>
      <c r="Y894" s="208"/>
      <c r="Z894" s="208"/>
    </row>
    <row r="895" ht="12.0" customHeight="1">
      <c r="A895" s="208"/>
      <c r="B895" s="208"/>
      <c r="C895" s="208"/>
      <c r="D895" s="208"/>
      <c r="E895" s="208"/>
      <c r="F895" s="208"/>
      <c r="G895" s="208"/>
      <c r="H895" s="208"/>
      <c r="I895" s="208"/>
      <c r="J895" s="208"/>
      <c r="K895" s="208"/>
      <c r="L895" s="208"/>
      <c r="M895" s="208"/>
      <c r="N895" s="208"/>
      <c r="O895" s="208"/>
      <c r="P895" s="208"/>
      <c r="Q895" s="208"/>
      <c r="R895" s="208"/>
      <c r="S895" s="208"/>
      <c r="T895" s="208"/>
      <c r="U895" s="208"/>
      <c r="V895" s="208"/>
      <c r="W895" s="208"/>
      <c r="X895" s="208"/>
      <c r="Y895" s="208"/>
      <c r="Z895" s="208"/>
    </row>
    <row r="896" ht="12.0" customHeight="1">
      <c r="A896" s="208"/>
      <c r="B896" s="208"/>
      <c r="C896" s="208"/>
      <c r="D896" s="208"/>
      <c r="E896" s="208"/>
      <c r="F896" s="208"/>
      <c r="G896" s="208"/>
      <c r="H896" s="208"/>
      <c r="I896" s="208"/>
      <c r="J896" s="208"/>
      <c r="K896" s="208"/>
      <c r="L896" s="208"/>
      <c r="M896" s="208"/>
      <c r="N896" s="208"/>
      <c r="O896" s="208"/>
      <c r="P896" s="208"/>
      <c r="Q896" s="208"/>
      <c r="R896" s="208"/>
      <c r="S896" s="208"/>
      <c r="T896" s="208"/>
      <c r="U896" s="208"/>
      <c r="V896" s="208"/>
      <c r="W896" s="208"/>
      <c r="X896" s="208"/>
      <c r="Y896" s="208"/>
      <c r="Z896" s="208"/>
    </row>
    <row r="897" ht="12.0" customHeight="1">
      <c r="A897" s="208"/>
      <c r="B897" s="208"/>
      <c r="C897" s="208"/>
      <c r="D897" s="208"/>
      <c r="E897" s="208"/>
      <c r="F897" s="208"/>
      <c r="G897" s="208"/>
      <c r="H897" s="208"/>
      <c r="I897" s="208"/>
      <c r="J897" s="208"/>
      <c r="K897" s="208"/>
      <c r="L897" s="208"/>
      <c r="M897" s="208"/>
      <c r="N897" s="208"/>
      <c r="O897" s="208"/>
      <c r="P897" s="208"/>
      <c r="Q897" s="208"/>
      <c r="R897" s="208"/>
      <c r="S897" s="208"/>
      <c r="T897" s="208"/>
      <c r="U897" s="208"/>
      <c r="V897" s="208"/>
      <c r="W897" s="208"/>
      <c r="X897" s="208"/>
      <c r="Y897" s="208"/>
      <c r="Z897" s="208"/>
    </row>
    <row r="898" ht="12.0" customHeight="1">
      <c r="A898" s="208"/>
      <c r="B898" s="208"/>
      <c r="C898" s="208"/>
      <c r="D898" s="208"/>
      <c r="E898" s="208"/>
      <c r="F898" s="208"/>
      <c r="G898" s="208"/>
      <c r="H898" s="208"/>
      <c r="I898" s="208"/>
      <c r="J898" s="208"/>
      <c r="K898" s="208"/>
      <c r="L898" s="208"/>
      <c r="M898" s="208"/>
      <c r="N898" s="208"/>
      <c r="O898" s="208"/>
      <c r="P898" s="208"/>
      <c r="Q898" s="208"/>
      <c r="R898" s="208"/>
      <c r="S898" s="208"/>
      <c r="T898" s="208"/>
      <c r="U898" s="208"/>
      <c r="V898" s="208"/>
      <c r="W898" s="208"/>
      <c r="X898" s="208"/>
      <c r="Y898" s="208"/>
      <c r="Z898" s="208"/>
    </row>
    <row r="899" ht="12.0" customHeight="1">
      <c r="A899" s="208"/>
      <c r="B899" s="208"/>
      <c r="C899" s="208"/>
      <c r="D899" s="208"/>
      <c r="E899" s="208"/>
      <c r="F899" s="208"/>
      <c r="G899" s="208"/>
      <c r="H899" s="208"/>
      <c r="I899" s="208"/>
      <c r="J899" s="208"/>
      <c r="K899" s="208"/>
      <c r="L899" s="208"/>
      <c r="M899" s="208"/>
      <c r="N899" s="208"/>
      <c r="O899" s="208"/>
      <c r="P899" s="208"/>
      <c r="Q899" s="208"/>
      <c r="R899" s="208"/>
      <c r="S899" s="208"/>
      <c r="T899" s="208"/>
      <c r="U899" s="208"/>
      <c r="V899" s="208"/>
      <c r="W899" s="208"/>
      <c r="X899" s="208"/>
      <c r="Y899" s="208"/>
      <c r="Z899" s="208"/>
    </row>
    <row r="900" ht="12.0" customHeight="1">
      <c r="A900" s="208"/>
      <c r="B900" s="208"/>
      <c r="C900" s="208"/>
      <c r="D900" s="208"/>
      <c r="E900" s="208"/>
      <c r="F900" s="208"/>
      <c r="G900" s="208"/>
      <c r="H900" s="208"/>
      <c r="I900" s="208"/>
      <c r="J900" s="208"/>
      <c r="K900" s="208"/>
      <c r="L900" s="208"/>
      <c r="M900" s="208"/>
      <c r="N900" s="208"/>
      <c r="O900" s="208"/>
      <c r="P900" s="208"/>
      <c r="Q900" s="208"/>
      <c r="R900" s="208"/>
      <c r="S900" s="208"/>
      <c r="T900" s="208"/>
      <c r="U900" s="208"/>
      <c r="V900" s="208"/>
      <c r="W900" s="208"/>
      <c r="X900" s="208"/>
      <c r="Y900" s="208"/>
      <c r="Z900" s="208"/>
    </row>
    <row r="901" ht="12.0" customHeight="1">
      <c r="A901" s="208"/>
      <c r="B901" s="208"/>
      <c r="C901" s="208"/>
      <c r="D901" s="208"/>
      <c r="E901" s="208"/>
      <c r="F901" s="208"/>
      <c r="G901" s="208"/>
      <c r="H901" s="208"/>
      <c r="I901" s="208"/>
      <c r="J901" s="208"/>
      <c r="K901" s="208"/>
      <c r="L901" s="208"/>
      <c r="M901" s="208"/>
      <c r="N901" s="208"/>
      <c r="O901" s="208"/>
      <c r="P901" s="208"/>
      <c r="Q901" s="208"/>
      <c r="R901" s="208"/>
      <c r="S901" s="208"/>
      <c r="T901" s="208"/>
      <c r="U901" s="208"/>
      <c r="V901" s="208"/>
      <c r="W901" s="208"/>
      <c r="X901" s="208"/>
      <c r="Y901" s="208"/>
      <c r="Z901" s="208"/>
    </row>
    <row r="902" ht="12.0" customHeight="1">
      <c r="A902" s="208"/>
      <c r="B902" s="208"/>
      <c r="C902" s="208"/>
      <c r="D902" s="208"/>
      <c r="E902" s="208"/>
      <c r="F902" s="208"/>
      <c r="G902" s="208"/>
      <c r="H902" s="208"/>
      <c r="I902" s="208"/>
      <c r="J902" s="208"/>
      <c r="K902" s="208"/>
      <c r="L902" s="208"/>
      <c r="M902" s="208"/>
      <c r="N902" s="208"/>
      <c r="O902" s="208"/>
      <c r="P902" s="208"/>
      <c r="Q902" s="208"/>
      <c r="R902" s="208"/>
      <c r="S902" s="208"/>
      <c r="T902" s="208"/>
      <c r="U902" s="208"/>
      <c r="V902" s="208"/>
      <c r="W902" s="208"/>
      <c r="X902" s="208"/>
      <c r="Y902" s="208"/>
      <c r="Z902" s="208"/>
    </row>
    <row r="903" ht="12.0" customHeight="1">
      <c r="A903" s="208"/>
      <c r="B903" s="208"/>
      <c r="C903" s="208"/>
      <c r="D903" s="208"/>
      <c r="E903" s="208"/>
      <c r="F903" s="208"/>
      <c r="G903" s="208"/>
      <c r="H903" s="208"/>
      <c r="I903" s="208"/>
      <c r="J903" s="208"/>
      <c r="K903" s="208"/>
      <c r="L903" s="208"/>
      <c r="M903" s="208"/>
      <c r="N903" s="208"/>
      <c r="O903" s="208"/>
      <c r="P903" s="208"/>
      <c r="Q903" s="208"/>
      <c r="R903" s="208"/>
      <c r="S903" s="208"/>
      <c r="T903" s="208"/>
      <c r="U903" s="208"/>
      <c r="V903" s="208"/>
      <c r="W903" s="208"/>
      <c r="X903" s="208"/>
      <c r="Y903" s="208"/>
      <c r="Z903" s="208"/>
    </row>
    <row r="904" ht="12.0" customHeight="1">
      <c r="A904" s="208"/>
      <c r="B904" s="208"/>
      <c r="C904" s="208"/>
      <c r="D904" s="208"/>
      <c r="E904" s="208"/>
      <c r="F904" s="208"/>
      <c r="G904" s="208"/>
      <c r="H904" s="208"/>
      <c r="I904" s="208"/>
      <c r="J904" s="208"/>
      <c r="K904" s="208"/>
      <c r="L904" s="208"/>
      <c r="M904" s="208"/>
      <c r="N904" s="208"/>
      <c r="O904" s="208"/>
      <c r="P904" s="208"/>
      <c r="Q904" s="208"/>
      <c r="R904" s="208"/>
      <c r="S904" s="208"/>
      <c r="T904" s="208"/>
      <c r="U904" s="208"/>
      <c r="V904" s="208"/>
      <c r="W904" s="208"/>
      <c r="X904" s="208"/>
      <c r="Y904" s="208"/>
      <c r="Z904" s="208"/>
    </row>
    <row r="905" ht="12.0" customHeight="1">
      <c r="A905" s="208"/>
      <c r="B905" s="208"/>
      <c r="C905" s="208"/>
      <c r="D905" s="208"/>
      <c r="E905" s="208"/>
      <c r="F905" s="208"/>
      <c r="G905" s="208"/>
      <c r="H905" s="208"/>
      <c r="I905" s="208"/>
      <c r="J905" s="208"/>
      <c r="K905" s="208"/>
      <c r="L905" s="208"/>
      <c r="M905" s="208"/>
      <c r="N905" s="208"/>
      <c r="O905" s="208"/>
      <c r="P905" s="208"/>
      <c r="Q905" s="208"/>
      <c r="R905" s="208"/>
      <c r="S905" s="208"/>
      <c r="T905" s="208"/>
      <c r="U905" s="208"/>
      <c r="V905" s="208"/>
      <c r="W905" s="208"/>
      <c r="X905" s="208"/>
      <c r="Y905" s="208"/>
      <c r="Z905" s="208"/>
    </row>
    <row r="906" ht="12.0" customHeight="1">
      <c r="A906" s="208"/>
      <c r="B906" s="208"/>
      <c r="C906" s="208"/>
      <c r="D906" s="208"/>
      <c r="E906" s="208"/>
      <c r="F906" s="208"/>
      <c r="G906" s="208"/>
      <c r="H906" s="208"/>
      <c r="I906" s="208"/>
      <c r="J906" s="208"/>
      <c r="K906" s="208"/>
      <c r="L906" s="208"/>
      <c r="M906" s="208"/>
      <c r="N906" s="208"/>
      <c r="O906" s="208"/>
      <c r="P906" s="208"/>
      <c r="Q906" s="208"/>
      <c r="R906" s="208"/>
      <c r="S906" s="208"/>
      <c r="T906" s="208"/>
      <c r="U906" s="208"/>
      <c r="V906" s="208"/>
      <c r="W906" s="208"/>
      <c r="X906" s="208"/>
      <c r="Y906" s="208"/>
      <c r="Z906" s="208"/>
    </row>
    <row r="907" ht="12.0" customHeight="1">
      <c r="A907" s="208"/>
      <c r="B907" s="208"/>
      <c r="C907" s="208"/>
      <c r="D907" s="208"/>
      <c r="E907" s="208"/>
      <c r="F907" s="208"/>
      <c r="G907" s="208"/>
      <c r="H907" s="208"/>
      <c r="I907" s="208"/>
      <c r="J907" s="208"/>
      <c r="K907" s="208"/>
      <c r="L907" s="208"/>
      <c r="M907" s="208"/>
      <c r="N907" s="208"/>
      <c r="O907" s="208"/>
      <c r="P907" s="208"/>
      <c r="Q907" s="208"/>
      <c r="R907" s="208"/>
      <c r="S907" s="208"/>
      <c r="T907" s="208"/>
      <c r="U907" s="208"/>
      <c r="V907" s="208"/>
      <c r="W907" s="208"/>
      <c r="X907" s="208"/>
      <c r="Y907" s="208"/>
      <c r="Z907" s="208"/>
    </row>
    <row r="908" ht="12.0" customHeight="1">
      <c r="A908" s="208"/>
      <c r="B908" s="208"/>
      <c r="C908" s="208"/>
      <c r="D908" s="208"/>
      <c r="E908" s="208"/>
      <c r="F908" s="208"/>
      <c r="G908" s="208"/>
      <c r="H908" s="208"/>
      <c r="I908" s="208"/>
      <c r="J908" s="208"/>
      <c r="K908" s="208"/>
      <c r="L908" s="208"/>
      <c r="M908" s="208"/>
      <c r="N908" s="208"/>
      <c r="O908" s="208"/>
      <c r="P908" s="208"/>
      <c r="Q908" s="208"/>
      <c r="R908" s="208"/>
      <c r="S908" s="208"/>
      <c r="T908" s="208"/>
      <c r="U908" s="208"/>
      <c r="V908" s="208"/>
      <c r="W908" s="208"/>
      <c r="X908" s="208"/>
      <c r="Y908" s="208"/>
      <c r="Z908" s="208"/>
    </row>
    <row r="909" ht="12.0" customHeight="1">
      <c r="A909" s="208"/>
      <c r="B909" s="208"/>
      <c r="C909" s="208"/>
      <c r="D909" s="208"/>
      <c r="E909" s="208"/>
      <c r="F909" s="208"/>
      <c r="G909" s="208"/>
      <c r="H909" s="208"/>
      <c r="I909" s="208"/>
      <c r="J909" s="208"/>
      <c r="K909" s="208"/>
      <c r="L909" s="208"/>
      <c r="M909" s="208"/>
      <c r="N909" s="208"/>
      <c r="O909" s="208"/>
      <c r="P909" s="208"/>
      <c r="Q909" s="208"/>
      <c r="R909" s="208"/>
      <c r="S909" s="208"/>
      <c r="T909" s="208"/>
      <c r="U909" s="208"/>
      <c r="V909" s="208"/>
      <c r="W909" s="208"/>
      <c r="X909" s="208"/>
      <c r="Y909" s="208"/>
      <c r="Z909" s="208"/>
    </row>
    <row r="910" ht="12.0" customHeight="1">
      <c r="A910" s="208"/>
      <c r="B910" s="208"/>
      <c r="C910" s="208"/>
      <c r="D910" s="208"/>
      <c r="E910" s="208"/>
      <c r="F910" s="208"/>
      <c r="G910" s="208"/>
      <c r="H910" s="208"/>
      <c r="I910" s="208"/>
      <c r="J910" s="208"/>
      <c r="K910" s="208"/>
      <c r="L910" s="208"/>
      <c r="M910" s="208"/>
      <c r="N910" s="208"/>
      <c r="O910" s="208"/>
      <c r="P910" s="208"/>
      <c r="Q910" s="208"/>
      <c r="R910" s="208"/>
      <c r="S910" s="208"/>
      <c r="T910" s="208"/>
      <c r="U910" s="208"/>
      <c r="V910" s="208"/>
      <c r="W910" s="208"/>
      <c r="X910" s="208"/>
      <c r="Y910" s="208"/>
      <c r="Z910" s="208"/>
    </row>
    <row r="911" ht="12.0" customHeight="1">
      <c r="A911" s="208"/>
      <c r="B911" s="208"/>
      <c r="C911" s="208"/>
      <c r="D911" s="208"/>
      <c r="E911" s="208"/>
      <c r="F911" s="208"/>
      <c r="G911" s="208"/>
      <c r="H911" s="208"/>
      <c r="I911" s="208"/>
      <c r="J911" s="208"/>
      <c r="K911" s="208"/>
      <c r="L911" s="208"/>
      <c r="M911" s="208"/>
      <c r="N911" s="208"/>
      <c r="O911" s="208"/>
      <c r="P911" s="208"/>
      <c r="Q911" s="208"/>
      <c r="R911" s="208"/>
      <c r="S911" s="208"/>
      <c r="T911" s="208"/>
      <c r="U911" s="208"/>
      <c r="V911" s="208"/>
      <c r="W911" s="208"/>
      <c r="X911" s="208"/>
      <c r="Y911" s="208"/>
      <c r="Z911" s="208"/>
    </row>
    <row r="912" ht="12.0" customHeight="1">
      <c r="A912" s="208"/>
      <c r="B912" s="208"/>
      <c r="C912" s="208"/>
      <c r="D912" s="208"/>
      <c r="E912" s="208"/>
      <c r="F912" s="208"/>
      <c r="G912" s="208"/>
      <c r="H912" s="208"/>
      <c r="I912" s="208"/>
      <c r="J912" s="208"/>
      <c r="K912" s="208"/>
      <c r="L912" s="208"/>
      <c r="M912" s="208"/>
      <c r="N912" s="208"/>
      <c r="O912" s="208"/>
      <c r="P912" s="208"/>
      <c r="Q912" s="208"/>
      <c r="R912" s="208"/>
      <c r="S912" s="208"/>
      <c r="T912" s="208"/>
      <c r="U912" s="208"/>
      <c r="V912" s="208"/>
      <c r="W912" s="208"/>
      <c r="X912" s="208"/>
      <c r="Y912" s="208"/>
      <c r="Z912" s="208"/>
    </row>
    <row r="913" ht="12.0" customHeight="1">
      <c r="A913" s="208"/>
      <c r="B913" s="208"/>
      <c r="C913" s="208"/>
      <c r="D913" s="208"/>
      <c r="E913" s="208"/>
      <c r="F913" s="208"/>
      <c r="G913" s="208"/>
      <c r="H913" s="208"/>
      <c r="I913" s="208"/>
      <c r="J913" s="208"/>
      <c r="K913" s="208"/>
      <c r="L913" s="208"/>
      <c r="M913" s="208"/>
      <c r="N913" s="208"/>
      <c r="O913" s="208"/>
      <c r="P913" s="208"/>
      <c r="Q913" s="208"/>
      <c r="R913" s="208"/>
      <c r="S913" s="208"/>
      <c r="T913" s="208"/>
      <c r="U913" s="208"/>
      <c r="V913" s="208"/>
      <c r="W913" s="208"/>
      <c r="X913" s="208"/>
      <c r="Y913" s="208"/>
      <c r="Z913" s="208"/>
    </row>
    <row r="914" ht="12.0" customHeight="1">
      <c r="A914" s="208"/>
      <c r="B914" s="208"/>
      <c r="C914" s="208"/>
      <c r="D914" s="208"/>
      <c r="E914" s="208"/>
      <c r="F914" s="208"/>
      <c r="G914" s="208"/>
      <c r="H914" s="208"/>
      <c r="I914" s="208"/>
      <c r="J914" s="208"/>
      <c r="K914" s="208"/>
      <c r="L914" s="208"/>
      <c r="M914" s="208"/>
      <c r="N914" s="208"/>
      <c r="O914" s="208"/>
      <c r="P914" s="208"/>
      <c r="Q914" s="208"/>
      <c r="R914" s="208"/>
      <c r="S914" s="208"/>
      <c r="T914" s="208"/>
      <c r="U914" s="208"/>
      <c r="V914" s="208"/>
      <c r="W914" s="208"/>
      <c r="X914" s="208"/>
      <c r="Y914" s="208"/>
      <c r="Z914" s="208"/>
    </row>
    <row r="915" ht="12.0" customHeight="1">
      <c r="A915" s="208"/>
      <c r="B915" s="208"/>
      <c r="C915" s="208"/>
      <c r="D915" s="208"/>
      <c r="E915" s="208"/>
      <c r="F915" s="208"/>
      <c r="G915" s="208"/>
      <c r="H915" s="208"/>
      <c r="I915" s="208"/>
      <c r="J915" s="208"/>
      <c r="K915" s="208"/>
      <c r="L915" s="208"/>
      <c r="M915" s="208"/>
      <c r="N915" s="208"/>
      <c r="O915" s="208"/>
      <c r="P915" s="208"/>
      <c r="Q915" s="208"/>
      <c r="R915" s="208"/>
      <c r="S915" s="208"/>
      <c r="T915" s="208"/>
      <c r="U915" s="208"/>
      <c r="V915" s="208"/>
      <c r="W915" s="208"/>
      <c r="X915" s="208"/>
      <c r="Y915" s="208"/>
      <c r="Z915" s="208"/>
    </row>
    <row r="916" ht="12.0" customHeight="1">
      <c r="A916" s="208"/>
      <c r="B916" s="208"/>
      <c r="C916" s="208"/>
      <c r="D916" s="208"/>
      <c r="E916" s="208"/>
      <c r="F916" s="208"/>
      <c r="G916" s="208"/>
      <c r="H916" s="208"/>
      <c r="I916" s="208"/>
      <c r="J916" s="208"/>
      <c r="K916" s="208"/>
      <c r="L916" s="208"/>
      <c r="M916" s="208"/>
      <c r="N916" s="208"/>
      <c r="O916" s="208"/>
      <c r="P916" s="208"/>
      <c r="Q916" s="208"/>
      <c r="R916" s="208"/>
      <c r="S916" s="208"/>
      <c r="T916" s="208"/>
      <c r="U916" s="208"/>
      <c r="V916" s="208"/>
      <c r="W916" s="208"/>
      <c r="X916" s="208"/>
      <c r="Y916" s="208"/>
      <c r="Z916" s="208"/>
    </row>
    <row r="917" ht="12.0" customHeight="1">
      <c r="A917" s="208"/>
      <c r="B917" s="208"/>
      <c r="C917" s="208"/>
      <c r="D917" s="208"/>
      <c r="E917" s="208"/>
      <c r="F917" s="208"/>
      <c r="G917" s="208"/>
      <c r="H917" s="208"/>
      <c r="I917" s="208"/>
      <c r="J917" s="208"/>
      <c r="K917" s="208"/>
      <c r="L917" s="208"/>
      <c r="M917" s="208"/>
      <c r="N917" s="208"/>
      <c r="O917" s="208"/>
      <c r="P917" s="208"/>
      <c r="Q917" s="208"/>
      <c r="R917" s="208"/>
      <c r="S917" s="208"/>
      <c r="T917" s="208"/>
      <c r="U917" s="208"/>
      <c r="V917" s="208"/>
      <c r="W917" s="208"/>
      <c r="X917" s="208"/>
      <c r="Y917" s="208"/>
      <c r="Z917" s="208"/>
    </row>
    <row r="918" ht="12.0" customHeight="1">
      <c r="A918" s="208"/>
      <c r="B918" s="208"/>
      <c r="C918" s="208"/>
      <c r="D918" s="208"/>
      <c r="E918" s="208"/>
      <c r="F918" s="208"/>
      <c r="G918" s="208"/>
      <c r="H918" s="208"/>
      <c r="I918" s="208"/>
      <c r="J918" s="208"/>
      <c r="K918" s="208"/>
      <c r="L918" s="208"/>
      <c r="M918" s="208"/>
      <c r="N918" s="208"/>
      <c r="O918" s="208"/>
      <c r="P918" s="208"/>
      <c r="Q918" s="208"/>
      <c r="R918" s="208"/>
      <c r="S918" s="208"/>
      <c r="T918" s="208"/>
      <c r="U918" s="208"/>
      <c r="V918" s="208"/>
      <c r="W918" s="208"/>
      <c r="X918" s="208"/>
      <c r="Y918" s="208"/>
      <c r="Z918" s="208"/>
    </row>
    <row r="919" ht="12.0" customHeight="1">
      <c r="A919" s="208"/>
      <c r="B919" s="208"/>
      <c r="C919" s="208"/>
      <c r="D919" s="208"/>
      <c r="E919" s="208"/>
      <c r="F919" s="208"/>
      <c r="G919" s="208"/>
      <c r="H919" s="208"/>
      <c r="I919" s="208"/>
      <c r="J919" s="208"/>
      <c r="K919" s="208"/>
      <c r="L919" s="208"/>
      <c r="M919" s="208"/>
      <c r="N919" s="208"/>
      <c r="O919" s="208"/>
      <c r="P919" s="208"/>
      <c r="Q919" s="208"/>
      <c r="R919" s="208"/>
      <c r="S919" s="208"/>
      <c r="T919" s="208"/>
      <c r="U919" s="208"/>
      <c r="V919" s="208"/>
      <c r="W919" s="208"/>
      <c r="X919" s="208"/>
      <c r="Y919" s="208"/>
      <c r="Z919" s="208"/>
    </row>
    <row r="920" ht="12.0" customHeight="1">
      <c r="A920" s="208"/>
      <c r="B920" s="208"/>
      <c r="C920" s="208"/>
      <c r="D920" s="208"/>
      <c r="E920" s="208"/>
      <c r="F920" s="208"/>
      <c r="G920" s="208"/>
      <c r="H920" s="208"/>
      <c r="I920" s="208"/>
      <c r="J920" s="208"/>
      <c r="K920" s="208"/>
      <c r="L920" s="208"/>
      <c r="M920" s="208"/>
      <c r="N920" s="208"/>
      <c r="O920" s="208"/>
      <c r="P920" s="208"/>
      <c r="Q920" s="208"/>
      <c r="R920" s="208"/>
      <c r="S920" s="208"/>
      <c r="T920" s="208"/>
      <c r="U920" s="208"/>
      <c r="V920" s="208"/>
      <c r="W920" s="208"/>
      <c r="X920" s="208"/>
      <c r="Y920" s="208"/>
      <c r="Z920" s="208"/>
    </row>
    <row r="921" ht="12.0" customHeight="1">
      <c r="A921" s="208"/>
      <c r="B921" s="208"/>
      <c r="C921" s="208"/>
      <c r="D921" s="208"/>
      <c r="E921" s="208"/>
      <c r="F921" s="208"/>
      <c r="G921" s="208"/>
      <c r="H921" s="208"/>
      <c r="I921" s="208"/>
      <c r="J921" s="208"/>
      <c r="K921" s="208"/>
      <c r="L921" s="208"/>
      <c r="M921" s="208"/>
      <c r="N921" s="208"/>
      <c r="O921" s="208"/>
      <c r="P921" s="208"/>
      <c r="Q921" s="208"/>
      <c r="R921" s="208"/>
      <c r="S921" s="208"/>
      <c r="T921" s="208"/>
      <c r="U921" s="208"/>
      <c r="V921" s="208"/>
      <c r="W921" s="208"/>
      <c r="X921" s="208"/>
      <c r="Y921" s="208"/>
      <c r="Z921" s="208"/>
    </row>
    <row r="922" ht="12.0" customHeight="1">
      <c r="A922" s="208"/>
      <c r="B922" s="208"/>
      <c r="C922" s="208"/>
      <c r="D922" s="208"/>
      <c r="E922" s="208"/>
      <c r="F922" s="208"/>
      <c r="G922" s="208"/>
      <c r="H922" s="208"/>
      <c r="I922" s="208"/>
      <c r="J922" s="208"/>
      <c r="K922" s="208"/>
      <c r="L922" s="208"/>
      <c r="M922" s="208"/>
      <c r="N922" s="208"/>
      <c r="O922" s="208"/>
      <c r="P922" s="208"/>
      <c r="Q922" s="208"/>
      <c r="R922" s="208"/>
      <c r="S922" s="208"/>
      <c r="T922" s="208"/>
      <c r="U922" s="208"/>
      <c r="V922" s="208"/>
      <c r="W922" s="208"/>
      <c r="X922" s="208"/>
      <c r="Y922" s="208"/>
      <c r="Z922" s="208"/>
    </row>
    <row r="923" ht="12.0" customHeight="1">
      <c r="A923" s="208"/>
      <c r="B923" s="208"/>
      <c r="C923" s="208"/>
      <c r="D923" s="208"/>
      <c r="E923" s="208"/>
      <c r="F923" s="208"/>
      <c r="G923" s="208"/>
      <c r="H923" s="208"/>
      <c r="I923" s="208"/>
      <c r="J923" s="208"/>
      <c r="K923" s="208"/>
      <c r="L923" s="208"/>
      <c r="M923" s="208"/>
      <c r="N923" s="208"/>
      <c r="O923" s="208"/>
      <c r="P923" s="208"/>
      <c r="Q923" s="208"/>
      <c r="R923" s="208"/>
      <c r="S923" s="208"/>
      <c r="T923" s="208"/>
      <c r="U923" s="208"/>
      <c r="V923" s="208"/>
      <c r="W923" s="208"/>
      <c r="X923" s="208"/>
      <c r="Y923" s="208"/>
      <c r="Z923" s="208"/>
    </row>
    <row r="924" ht="12.0" customHeight="1">
      <c r="A924" s="208"/>
      <c r="B924" s="208"/>
      <c r="C924" s="208"/>
      <c r="D924" s="208"/>
      <c r="E924" s="208"/>
      <c r="F924" s="208"/>
      <c r="G924" s="208"/>
      <c r="H924" s="208"/>
      <c r="I924" s="208"/>
      <c r="J924" s="208"/>
      <c r="K924" s="208"/>
      <c r="L924" s="208"/>
      <c r="M924" s="208"/>
      <c r="N924" s="208"/>
      <c r="O924" s="208"/>
      <c r="P924" s="208"/>
      <c r="Q924" s="208"/>
      <c r="R924" s="208"/>
      <c r="S924" s="208"/>
      <c r="T924" s="208"/>
      <c r="U924" s="208"/>
      <c r="V924" s="208"/>
      <c r="W924" s="208"/>
      <c r="X924" s="208"/>
      <c r="Y924" s="208"/>
      <c r="Z924" s="208"/>
    </row>
    <row r="925" ht="12.0" customHeight="1">
      <c r="A925" s="208"/>
      <c r="B925" s="208"/>
      <c r="C925" s="208"/>
      <c r="D925" s="208"/>
      <c r="E925" s="208"/>
      <c r="F925" s="208"/>
      <c r="G925" s="208"/>
      <c r="H925" s="208"/>
      <c r="I925" s="208"/>
      <c r="J925" s="208"/>
      <c r="K925" s="208"/>
      <c r="L925" s="208"/>
      <c r="M925" s="208"/>
      <c r="N925" s="208"/>
      <c r="O925" s="208"/>
      <c r="P925" s="208"/>
      <c r="Q925" s="208"/>
      <c r="R925" s="208"/>
      <c r="S925" s="208"/>
      <c r="T925" s="208"/>
      <c r="U925" s="208"/>
      <c r="V925" s="208"/>
      <c r="W925" s="208"/>
      <c r="X925" s="208"/>
      <c r="Y925" s="208"/>
      <c r="Z925" s="208"/>
    </row>
    <row r="926" ht="12.0" customHeight="1">
      <c r="A926" s="208"/>
      <c r="B926" s="208"/>
      <c r="C926" s="208"/>
      <c r="D926" s="208"/>
      <c r="E926" s="208"/>
      <c r="F926" s="208"/>
      <c r="G926" s="208"/>
      <c r="H926" s="208"/>
      <c r="I926" s="208"/>
      <c r="J926" s="208"/>
      <c r="K926" s="208"/>
      <c r="L926" s="208"/>
      <c r="M926" s="208"/>
      <c r="N926" s="208"/>
      <c r="O926" s="208"/>
      <c r="P926" s="208"/>
      <c r="Q926" s="208"/>
      <c r="R926" s="208"/>
      <c r="S926" s="208"/>
      <c r="T926" s="208"/>
      <c r="U926" s="208"/>
      <c r="V926" s="208"/>
      <c r="W926" s="208"/>
      <c r="X926" s="208"/>
      <c r="Y926" s="208"/>
      <c r="Z926" s="208"/>
    </row>
    <row r="927" ht="12.0" customHeight="1">
      <c r="A927" s="208"/>
      <c r="B927" s="208"/>
      <c r="C927" s="208"/>
      <c r="D927" s="208"/>
      <c r="E927" s="208"/>
      <c r="F927" s="208"/>
      <c r="G927" s="208"/>
      <c r="H927" s="208"/>
      <c r="I927" s="208"/>
      <c r="J927" s="208"/>
      <c r="K927" s="208"/>
      <c r="L927" s="208"/>
      <c r="M927" s="208"/>
      <c r="N927" s="208"/>
      <c r="O927" s="208"/>
      <c r="P927" s="208"/>
      <c r="Q927" s="208"/>
      <c r="R927" s="208"/>
      <c r="S927" s="208"/>
      <c r="T927" s="208"/>
      <c r="U927" s="208"/>
      <c r="V927" s="208"/>
      <c r="W927" s="208"/>
      <c r="X927" s="208"/>
      <c r="Y927" s="208"/>
      <c r="Z927" s="208"/>
    </row>
    <row r="928" ht="12.0" customHeight="1">
      <c r="A928" s="208"/>
      <c r="B928" s="208"/>
      <c r="C928" s="208"/>
      <c r="D928" s="208"/>
      <c r="E928" s="208"/>
      <c r="F928" s="208"/>
      <c r="G928" s="208"/>
      <c r="H928" s="208"/>
      <c r="I928" s="208"/>
      <c r="J928" s="208"/>
      <c r="K928" s="208"/>
      <c r="L928" s="208"/>
      <c r="M928" s="208"/>
      <c r="N928" s="208"/>
      <c r="O928" s="208"/>
      <c r="P928" s="208"/>
      <c r="Q928" s="208"/>
      <c r="R928" s="208"/>
      <c r="S928" s="208"/>
      <c r="T928" s="208"/>
      <c r="U928" s="208"/>
      <c r="V928" s="208"/>
      <c r="W928" s="208"/>
      <c r="X928" s="208"/>
      <c r="Y928" s="208"/>
      <c r="Z928" s="208"/>
    </row>
    <row r="929" ht="12.0" customHeight="1">
      <c r="A929" s="208"/>
      <c r="B929" s="208"/>
      <c r="C929" s="208"/>
      <c r="D929" s="208"/>
      <c r="E929" s="208"/>
      <c r="F929" s="208"/>
      <c r="G929" s="208"/>
      <c r="H929" s="208"/>
      <c r="I929" s="208"/>
      <c r="J929" s="208"/>
      <c r="K929" s="208"/>
      <c r="L929" s="208"/>
      <c r="M929" s="208"/>
      <c r="N929" s="208"/>
      <c r="O929" s="208"/>
      <c r="P929" s="208"/>
      <c r="Q929" s="208"/>
      <c r="R929" s="208"/>
      <c r="S929" s="208"/>
      <c r="T929" s="208"/>
      <c r="U929" s="208"/>
      <c r="V929" s="208"/>
      <c r="W929" s="208"/>
      <c r="X929" s="208"/>
      <c r="Y929" s="208"/>
      <c r="Z929" s="208"/>
    </row>
    <row r="930" ht="12.0" customHeight="1">
      <c r="A930" s="208"/>
      <c r="B930" s="208"/>
      <c r="C930" s="208"/>
      <c r="D930" s="208"/>
      <c r="E930" s="208"/>
      <c r="F930" s="208"/>
      <c r="G930" s="208"/>
      <c r="H930" s="208"/>
      <c r="I930" s="208"/>
      <c r="J930" s="208"/>
      <c r="K930" s="208"/>
      <c r="L930" s="208"/>
      <c r="M930" s="208"/>
      <c r="N930" s="208"/>
      <c r="O930" s="208"/>
      <c r="P930" s="208"/>
      <c r="Q930" s="208"/>
      <c r="R930" s="208"/>
      <c r="S930" s="208"/>
      <c r="T930" s="208"/>
      <c r="U930" s="208"/>
      <c r="V930" s="208"/>
      <c r="W930" s="208"/>
      <c r="X930" s="208"/>
      <c r="Y930" s="208"/>
      <c r="Z930" s="208"/>
    </row>
    <row r="931" ht="12.0" customHeight="1">
      <c r="A931" s="208"/>
      <c r="B931" s="208"/>
      <c r="C931" s="208"/>
      <c r="D931" s="208"/>
      <c r="E931" s="208"/>
      <c r="F931" s="208"/>
      <c r="G931" s="208"/>
      <c r="H931" s="208"/>
      <c r="I931" s="208"/>
      <c r="J931" s="208"/>
      <c r="K931" s="208"/>
      <c r="L931" s="208"/>
      <c r="M931" s="208"/>
      <c r="N931" s="208"/>
      <c r="O931" s="208"/>
      <c r="P931" s="208"/>
      <c r="Q931" s="208"/>
      <c r="R931" s="208"/>
      <c r="S931" s="208"/>
      <c r="T931" s="208"/>
      <c r="U931" s="208"/>
      <c r="V931" s="208"/>
      <c r="W931" s="208"/>
      <c r="X931" s="208"/>
      <c r="Y931" s="208"/>
      <c r="Z931" s="208"/>
    </row>
    <row r="932" ht="12.0" customHeight="1">
      <c r="A932" s="208"/>
      <c r="B932" s="208"/>
      <c r="C932" s="208"/>
      <c r="D932" s="208"/>
      <c r="E932" s="208"/>
      <c r="F932" s="208"/>
      <c r="G932" s="208"/>
      <c r="H932" s="208"/>
      <c r="I932" s="208"/>
      <c r="J932" s="208"/>
      <c r="K932" s="208"/>
      <c r="L932" s="208"/>
      <c r="M932" s="208"/>
      <c r="N932" s="208"/>
      <c r="O932" s="208"/>
      <c r="P932" s="208"/>
      <c r="Q932" s="208"/>
      <c r="R932" s="208"/>
      <c r="S932" s="208"/>
      <c r="T932" s="208"/>
      <c r="U932" s="208"/>
      <c r="V932" s="208"/>
      <c r="W932" s="208"/>
      <c r="X932" s="208"/>
      <c r="Y932" s="208"/>
      <c r="Z932" s="208"/>
    </row>
    <row r="933" ht="12.0" customHeight="1">
      <c r="A933" s="208"/>
      <c r="B933" s="208"/>
      <c r="C933" s="208"/>
      <c r="D933" s="208"/>
      <c r="E933" s="208"/>
      <c r="F933" s="208"/>
      <c r="G933" s="208"/>
      <c r="H933" s="208"/>
      <c r="I933" s="208"/>
      <c r="J933" s="208"/>
      <c r="K933" s="208"/>
      <c r="L933" s="208"/>
      <c r="M933" s="208"/>
      <c r="N933" s="208"/>
      <c r="O933" s="208"/>
      <c r="P933" s="208"/>
      <c r="Q933" s="208"/>
      <c r="R933" s="208"/>
      <c r="S933" s="208"/>
      <c r="T933" s="208"/>
      <c r="U933" s="208"/>
      <c r="V933" s="208"/>
      <c r="W933" s="208"/>
      <c r="X933" s="208"/>
      <c r="Y933" s="208"/>
      <c r="Z933" s="208"/>
    </row>
    <row r="934" ht="12.0" customHeight="1">
      <c r="A934" s="208"/>
      <c r="B934" s="208"/>
      <c r="C934" s="208"/>
      <c r="D934" s="208"/>
      <c r="E934" s="208"/>
      <c r="F934" s="208"/>
      <c r="G934" s="208"/>
      <c r="H934" s="208"/>
      <c r="I934" s="208"/>
      <c r="J934" s="208"/>
      <c r="K934" s="208"/>
      <c r="L934" s="208"/>
      <c r="M934" s="208"/>
      <c r="N934" s="208"/>
      <c r="O934" s="208"/>
      <c r="P934" s="208"/>
      <c r="Q934" s="208"/>
      <c r="R934" s="208"/>
      <c r="S934" s="208"/>
      <c r="T934" s="208"/>
      <c r="U934" s="208"/>
      <c r="V934" s="208"/>
      <c r="W934" s="208"/>
      <c r="X934" s="208"/>
      <c r="Y934" s="208"/>
      <c r="Z934" s="208"/>
    </row>
    <row r="935" ht="12.0" customHeight="1">
      <c r="A935" s="208"/>
      <c r="B935" s="208"/>
      <c r="C935" s="208"/>
      <c r="D935" s="208"/>
      <c r="E935" s="208"/>
      <c r="F935" s="208"/>
      <c r="G935" s="208"/>
      <c r="H935" s="208"/>
      <c r="I935" s="208"/>
      <c r="J935" s="208"/>
      <c r="K935" s="208"/>
      <c r="L935" s="208"/>
      <c r="M935" s="208"/>
      <c r="N935" s="208"/>
      <c r="O935" s="208"/>
      <c r="P935" s="208"/>
      <c r="Q935" s="208"/>
      <c r="R935" s="208"/>
      <c r="S935" s="208"/>
      <c r="T935" s="208"/>
      <c r="U935" s="208"/>
      <c r="V935" s="208"/>
      <c r="W935" s="208"/>
      <c r="X935" s="208"/>
      <c r="Y935" s="208"/>
      <c r="Z935" s="208"/>
    </row>
    <row r="936" ht="12.0" customHeight="1">
      <c r="A936" s="208"/>
      <c r="B936" s="208"/>
      <c r="C936" s="208"/>
      <c r="D936" s="208"/>
      <c r="E936" s="208"/>
      <c r="F936" s="208"/>
      <c r="G936" s="208"/>
      <c r="H936" s="208"/>
      <c r="I936" s="208"/>
      <c r="J936" s="208"/>
      <c r="K936" s="208"/>
      <c r="L936" s="208"/>
      <c r="M936" s="208"/>
      <c r="N936" s="208"/>
      <c r="O936" s="208"/>
      <c r="P936" s="208"/>
      <c r="Q936" s="208"/>
      <c r="R936" s="208"/>
      <c r="S936" s="208"/>
      <c r="T936" s="208"/>
      <c r="U936" s="208"/>
      <c r="V936" s="208"/>
      <c r="W936" s="208"/>
      <c r="X936" s="208"/>
      <c r="Y936" s="208"/>
      <c r="Z936" s="208"/>
    </row>
    <row r="937" ht="12.0" customHeight="1">
      <c r="A937" s="208"/>
      <c r="B937" s="208"/>
      <c r="C937" s="208"/>
      <c r="D937" s="208"/>
      <c r="E937" s="208"/>
      <c r="F937" s="208"/>
      <c r="G937" s="208"/>
      <c r="H937" s="208"/>
      <c r="I937" s="208"/>
      <c r="J937" s="208"/>
      <c r="K937" s="208"/>
      <c r="L937" s="208"/>
      <c r="M937" s="208"/>
      <c r="N937" s="208"/>
      <c r="O937" s="208"/>
      <c r="P937" s="208"/>
      <c r="Q937" s="208"/>
      <c r="R937" s="208"/>
      <c r="S937" s="208"/>
      <c r="T937" s="208"/>
      <c r="U937" s="208"/>
      <c r="V937" s="208"/>
      <c r="W937" s="208"/>
      <c r="X937" s="208"/>
      <c r="Y937" s="208"/>
      <c r="Z937" s="208"/>
    </row>
    <row r="938" ht="12.0" customHeight="1">
      <c r="A938" s="208"/>
      <c r="B938" s="208"/>
      <c r="C938" s="208"/>
      <c r="D938" s="208"/>
      <c r="E938" s="208"/>
      <c r="F938" s="208"/>
      <c r="G938" s="208"/>
      <c r="H938" s="208"/>
      <c r="I938" s="208"/>
      <c r="J938" s="208"/>
      <c r="K938" s="208"/>
      <c r="L938" s="208"/>
      <c r="M938" s="208"/>
      <c r="N938" s="208"/>
      <c r="O938" s="208"/>
      <c r="P938" s="208"/>
      <c r="Q938" s="208"/>
      <c r="R938" s="208"/>
      <c r="S938" s="208"/>
      <c r="T938" s="208"/>
      <c r="U938" s="208"/>
      <c r="V938" s="208"/>
      <c r="W938" s="208"/>
      <c r="X938" s="208"/>
      <c r="Y938" s="208"/>
      <c r="Z938" s="208"/>
    </row>
    <row r="939" ht="12.0" customHeight="1">
      <c r="A939" s="208"/>
      <c r="B939" s="208"/>
      <c r="C939" s="208"/>
      <c r="D939" s="208"/>
      <c r="E939" s="208"/>
      <c r="F939" s="208"/>
      <c r="G939" s="208"/>
      <c r="H939" s="208"/>
      <c r="I939" s="208"/>
      <c r="J939" s="208"/>
      <c r="K939" s="208"/>
      <c r="L939" s="208"/>
      <c r="M939" s="208"/>
      <c r="N939" s="208"/>
      <c r="O939" s="208"/>
      <c r="P939" s="208"/>
      <c r="Q939" s="208"/>
      <c r="R939" s="208"/>
      <c r="S939" s="208"/>
      <c r="T939" s="208"/>
      <c r="U939" s="208"/>
      <c r="V939" s="208"/>
      <c r="W939" s="208"/>
      <c r="X939" s="208"/>
      <c r="Y939" s="208"/>
      <c r="Z939" s="208"/>
    </row>
    <row r="940" ht="12.0" customHeight="1">
      <c r="A940" s="208"/>
      <c r="B940" s="208"/>
      <c r="C940" s="208"/>
      <c r="D940" s="208"/>
      <c r="E940" s="208"/>
      <c r="F940" s="208"/>
      <c r="G940" s="208"/>
      <c r="H940" s="208"/>
      <c r="I940" s="208"/>
      <c r="J940" s="208"/>
      <c r="K940" s="208"/>
      <c r="L940" s="208"/>
      <c r="M940" s="208"/>
      <c r="N940" s="208"/>
      <c r="O940" s="208"/>
      <c r="P940" s="208"/>
      <c r="Q940" s="208"/>
      <c r="R940" s="208"/>
      <c r="S940" s="208"/>
      <c r="T940" s="208"/>
      <c r="U940" s="208"/>
      <c r="V940" s="208"/>
      <c r="W940" s="208"/>
      <c r="X940" s="208"/>
      <c r="Y940" s="208"/>
      <c r="Z940" s="208"/>
    </row>
    <row r="941" ht="12.0" customHeight="1">
      <c r="A941" s="208"/>
      <c r="B941" s="208"/>
      <c r="C941" s="208"/>
      <c r="D941" s="208"/>
      <c r="E941" s="208"/>
      <c r="F941" s="208"/>
      <c r="G941" s="208"/>
      <c r="H941" s="208"/>
      <c r="I941" s="208"/>
      <c r="J941" s="208"/>
      <c r="K941" s="208"/>
      <c r="L941" s="208"/>
      <c r="M941" s="208"/>
      <c r="N941" s="208"/>
      <c r="O941" s="208"/>
      <c r="P941" s="208"/>
      <c r="Q941" s="208"/>
      <c r="R941" s="208"/>
      <c r="S941" s="208"/>
      <c r="T941" s="208"/>
      <c r="U941" s="208"/>
      <c r="V941" s="208"/>
      <c r="W941" s="208"/>
      <c r="X941" s="208"/>
      <c r="Y941" s="208"/>
      <c r="Z941" s="208"/>
    </row>
    <row r="942" ht="12.0" customHeight="1">
      <c r="A942" s="208"/>
      <c r="B942" s="208"/>
      <c r="C942" s="208"/>
      <c r="D942" s="208"/>
      <c r="E942" s="208"/>
      <c r="F942" s="208"/>
      <c r="G942" s="208"/>
      <c r="H942" s="208"/>
      <c r="I942" s="208"/>
      <c r="J942" s="208"/>
      <c r="K942" s="208"/>
      <c r="L942" s="208"/>
      <c r="M942" s="208"/>
      <c r="N942" s="208"/>
      <c r="O942" s="208"/>
      <c r="P942" s="208"/>
      <c r="Q942" s="208"/>
      <c r="R942" s="208"/>
      <c r="S942" s="208"/>
      <c r="T942" s="208"/>
      <c r="U942" s="208"/>
      <c r="V942" s="208"/>
      <c r="W942" s="208"/>
      <c r="X942" s="208"/>
      <c r="Y942" s="208"/>
      <c r="Z942" s="208"/>
    </row>
    <row r="943" ht="12.0" customHeight="1">
      <c r="A943" s="208"/>
      <c r="B943" s="208"/>
      <c r="C943" s="208"/>
      <c r="D943" s="208"/>
      <c r="E943" s="208"/>
      <c r="F943" s="208"/>
      <c r="G943" s="208"/>
      <c r="H943" s="208"/>
      <c r="I943" s="208"/>
      <c r="J943" s="208"/>
      <c r="K943" s="208"/>
      <c r="L943" s="208"/>
      <c r="M943" s="208"/>
      <c r="N943" s="208"/>
      <c r="O943" s="208"/>
      <c r="P943" s="208"/>
      <c r="Q943" s="208"/>
      <c r="R943" s="208"/>
      <c r="S943" s="208"/>
      <c r="T943" s="208"/>
      <c r="U943" s="208"/>
      <c r="V943" s="208"/>
      <c r="W943" s="208"/>
      <c r="X943" s="208"/>
      <c r="Y943" s="208"/>
      <c r="Z943" s="208"/>
    </row>
    <row r="944" ht="12.0" customHeight="1">
      <c r="A944" s="208"/>
      <c r="B944" s="208"/>
      <c r="C944" s="208"/>
      <c r="D944" s="208"/>
      <c r="E944" s="208"/>
      <c r="F944" s="208"/>
      <c r="G944" s="208"/>
      <c r="H944" s="208"/>
      <c r="I944" s="208"/>
      <c r="J944" s="208"/>
      <c r="K944" s="208"/>
      <c r="L944" s="208"/>
      <c r="M944" s="208"/>
      <c r="N944" s="208"/>
      <c r="O944" s="208"/>
      <c r="P944" s="208"/>
      <c r="Q944" s="208"/>
      <c r="R944" s="208"/>
      <c r="S944" s="208"/>
      <c r="T944" s="208"/>
      <c r="U944" s="208"/>
      <c r="V944" s="208"/>
      <c r="W944" s="208"/>
      <c r="X944" s="208"/>
      <c r="Y944" s="208"/>
      <c r="Z944" s="208"/>
    </row>
    <row r="945" ht="12.0" customHeight="1">
      <c r="A945" s="208"/>
      <c r="B945" s="208"/>
      <c r="C945" s="208"/>
      <c r="D945" s="208"/>
      <c r="E945" s="208"/>
      <c r="F945" s="208"/>
      <c r="G945" s="208"/>
      <c r="H945" s="208"/>
      <c r="I945" s="208"/>
      <c r="J945" s="208"/>
      <c r="K945" s="208"/>
      <c r="L945" s="208"/>
      <c r="M945" s="208"/>
      <c r="N945" s="208"/>
      <c r="O945" s="208"/>
      <c r="P945" s="208"/>
      <c r="Q945" s="208"/>
      <c r="R945" s="208"/>
      <c r="S945" s="208"/>
      <c r="T945" s="208"/>
      <c r="U945" s="208"/>
      <c r="V945" s="208"/>
      <c r="W945" s="208"/>
      <c r="X945" s="208"/>
      <c r="Y945" s="208"/>
      <c r="Z945" s="208"/>
    </row>
    <row r="946" ht="12.0" customHeight="1">
      <c r="A946" s="208"/>
      <c r="B946" s="208"/>
      <c r="C946" s="208"/>
      <c r="D946" s="208"/>
      <c r="E946" s="208"/>
      <c r="F946" s="208"/>
      <c r="G946" s="208"/>
      <c r="H946" s="208"/>
      <c r="I946" s="208"/>
      <c r="J946" s="208"/>
      <c r="K946" s="208"/>
      <c r="L946" s="208"/>
      <c r="M946" s="208"/>
      <c r="N946" s="208"/>
      <c r="O946" s="208"/>
      <c r="P946" s="208"/>
      <c r="Q946" s="208"/>
      <c r="R946" s="208"/>
      <c r="S946" s="208"/>
      <c r="T946" s="208"/>
      <c r="U946" s="208"/>
      <c r="V946" s="208"/>
      <c r="W946" s="208"/>
      <c r="X946" s="208"/>
      <c r="Y946" s="208"/>
      <c r="Z946" s="208"/>
    </row>
    <row r="947" ht="12.0" customHeight="1">
      <c r="A947" s="208"/>
      <c r="B947" s="208"/>
      <c r="C947" s="208"/>
      <c r="D947" s="208"/>
      <c r="E947" s="208"/>
      <c r="F947" s="208"/>
      <c r="G947" s="208"/>
      <c r="H947" s="208"/>
      <c r="I947" s="208"/>
      <c r="J947" s="208"/>
      <c r="K947" s="208"/>
      <c r="L947" s="208"/>
      <c r="M947" s="208"/>
      <c r="N947" s="208"/>
      <c r="O947" s="208"/>
      <c r="P947" s="208"/>
      <c r="Q947" s="208"/>
      <c r="R947" s="208"/>
      <c r="S947" s="208"/>
      <c r="T947" s="208"/>
      <c r="U947" s="208"/>
      <c r="V947" s="208"/>
      <c r="W947" s="208"/>
      <c r="X947" s="208"/>
      <c r="Y947" s="208"/>
      <c r="Z947" s="208"/>
    </row>
    <row r="948" ht="12.0" customHeight="1">
      <c r="A948" s="208"/>
      <c r="B948" s="208"/>
      <c r="C948" s="208"/>
      <c r="D948" s="208"/>
      <c r="E948" s="208"/>
      <c r="F948" s="208"/>
      <c r="G948" s="208"/>
      <c r="H948" s="208"/>
      <c r="I948" s="208"/>
      <c r="J948" s="208"/>
      <c r="K948" s="208"/>
      <c r="L948" s="208"/>
      <c r="M948" s="208"/>
      <c r="N948" s="208"/>
      <c r="O948" s="208"/>
      <c r="P948" s="208"/>
      <c r="Q948" s="208"/>
      <c r="R948" s="208"/>
      <c r="S948" s="208"/>
      <c r="T948" s="208"/>
      <c r="U948" s="208"/>
      <c r="V948" s="208"/>
      <c r="W948" s="208"/>
      <c r="X948" s="208"/>
      <c r="Y948" s="208"/>
      <c r="Z948" s="208"/>
    </row>
    <row r="949" ht="12.0" customHeight="1">
      <c r="A949" s="208"/>
      <c r="B949" s="208"/>
      <c r="C949" s="208"/>
      <c r="D949" s="208"/>
      <c r="E949" s="208"/>
      <c r="F949" s="208"/>
      <c r="G949" s="208"/>
      <c r="H949" s="208"/>
      <c r="I949" s="208"/>
      <c r="J949" s="208"/>
      <c r="K949" s="208"/>
      <c r="L949" s="208"/>
      <c r="M949" s="208"/>
      <c r="N949" s="208"/>
      <c r="O949" s="208"/>
      <c r="P949" s="208"/>
      <c r="Q949" s="208"/>
      <c r="R949" s="208"/>
      <c r="S949" s="208"/>
      <c r="T949" s="208"/>
      <c r="U949" s="208"/>
      <c r="V949" s="208"/>
      <c r="W949" s="208"/>
      <c r="X949" s="208"/>
      <c r="Y949" s="208"/>
      <c r="Z949" s="208"/>
    </row>
    <row r="950" ht="12.0" customHeight="1">
      <c r="A950" s="208"/>
      <c r="B950" s="208"/>
      <c r="C950" s="208"/>
      <c r="D950" s="208"/>
      <c r="E950" s="208"/>
      <c r="F950" s="208"/>
      <c r="G950" s="208"/>
      <c r="H950" s="208"/>
      <c r="I950" s="208"/>
      <c r="J950" s="208"/>
      <c r="K950" s="208"/>
      <c r="L950" s="208"/>
      <c r="M950" s="208"/>
      <c r="N950" s="208"/>
      <c r="O950" s="208"/>
      <c r="P950" s="208"/>
      <c r="Q950" s="208"/>
      <c r="R950" s="208"/>
      <c r="S950" s="208"/>
      <c r="T950" s="208"/>
      <c r="U950" s="208"/>
      <c r="V950" s="208"/>
      <c r="W950" s="208"/>
      <c r="X950" s="208"/>
      <c r="Y950" s="208"/>
      <c r="Z950" s="208"/>
    </row>
    <row r="951" ht="12.0" customHeight="1">
      <c r="A951" s="208"/>
      <c r="B951" s="208"/>
      <c r="C951" s="208"/>
      <c r="D951" s="208"/>
      <c r="E951" s="208"/>
      <c r="F951" s="208"/>
      <c r="G951" s="208"/>
      <c r="H951" s="208"/>
      <c r="I951" s="208"/>
      <c r="J951" s="208"/>
      <c r="K951" s="208"/>
      <c r="L951" s="208"/>
      <c r="M951" s="208"/>
      <c r="N951" s="208"/>
      <c r="O951" s="208"/>
      <c r="P951" s="208"/>
      <c r="Q951" s="208"/>
      <c r="R951" s="208"/>
      <c r="S951" s="208"/>
      <c r="T951" s="208"/>
      <c r="U951" s="208"/>
      <c r="V951" s="208"/>
      <c r="W951" s="208"/>
      <c r="X951" s="208"/>
      <c r="Y951" s="208"/>
      <c r="Z951" s="208"/>
    </row>
    <row r="952" ht="12.0" customHeight="1">
      <c r="A952" s="208"/>
      <c r="B952" s="208"/>
      <c r="C952" s="208"/>
      <c r="D952" s="208"/>
      <c r="E952" s="208"/>
      <c r="F952" s="208"/>
      <c r="G952" s="208"/>
      <c r="H952" s="208"/>
      <c r="I952" s="208"/>
      <c r="J952" s="208"/>
      <c r="K952" s="208"/>
      <c r="L952" s="208"/>
      <c r="M952" s="208"/>
      <c r="N952" s="208"/>
      <c r="O952" s="208"/>
      <c r="P952" s="208"/>
      <c r="Q952" s="208"/>
      <c r="R952" s="208"/>
      <c r="S952" s="208"/>
      <c r="T952" s="208"/>
      <c r="U952" s="208"/>
      <c r="V952" s="208"/>
      <c r="W952" s="208"/>
      <c r="X952" s="208"/>
      <c r="Y952" s="208"/>
      <c r="Z952" s="208"/>
    </row>
    <row r="953" ht="12.0" customHeight="1">
      <c r="A953" s="208"/>
      <c r="B953" s="208"/>
      <c r="C953" s="208"/>
      <c r="D953" s="208"/>
      <c r="E953" s="208"/>
      <c r="F953" s="208"/>
      <c r="G953" s="208"/>
      <c r="H953" s="208"/>
      <c r="I953" s="208"/>
      <c r="J953" s="208"/>
      <c r="K953" s="208"/>
      <c r="L953" s="208"/>
      <c r="M953" s="208"/>
      <c r="N953" s="208"/>
      <c r="O953" s="208"/>
      <c r="P953" s="208"/>
      <c r="Q953" s="208"/>
      <c r="R953" s="208"/>
      <c r="S953" s="208"/>
      <c r="T953" s="208"/>
      <c r="U953" s="208"/>
      <c r="V953" s="208"/>
      <c r="W953" s="208"/>
      <c r="X953" s="208"/>
      <c r="Y953" s="208"/>
      <c r="Z953" s="208"/>
    </row>
    <row r="954" ht="12.0" customHeight="1">
      <c r="A954" s="208"/>
      <c r="B954" s="208"/>
      <c r="C954" s="208"/>
      <c r="D954" s="208"/>
      <c r="E954" s="208"/>
      <c r="F954" s="208"/>
      <c r="G954" s="208"/>
      <c r="H954" s="208"/>
      <c r="I954" s="208"/>
      <c r="J954" s="208"/>
      <c r="K954" s="208"/>
      <c r="L954" s="208"/>
      <c r="M954" s="208"/>
      <c r="N954" s="208"/>
      <c r="O954" s="208"/>
      <c r="P954" s="208"/>
      <c r="Q954" s="208"/>
      <c r="R954" s="208"/>
      <c r="S954" s="208"/>
      <c r="T954" s="208"/>
      <c r="U954" s="208"/>
      <c r="V954" s="208"/>
      <c r="W954" s="208"/>
      <c r="X954" s="208"/>
      <c r="Y954" s="208"/>
      <c r="Z954" s="208"/>
    </row>
    <row r="955" ht="12.0" customHeight="1">
      <c r="A955" s="208"/>
      <c r="B955" s="208"/>
      <c r="C955" s="208"/>
      <c r="D955" s="208"/>
      <c r="E955" s="208"/>
      <c r="F955" s="208"/>
      <c r="G955" s="208"/>
      <c r="H955" s="208"/>
      <c r="I955" s="208"/>
      <c r="J955" s="208"/>
      <c r="K955" s="208"/>
      <c r="L955" s="208"/>
      <c r="M955" s="208"/>
      <c r="N955" s="208"/>
      <c r="O955" s="208"/>
      <c r="P955" s="208"/>
      <c r="Q955" s="208"/>
      <c r="R955" s="208"/>
      <c r="S955" s="208"/>
      <c r="T955" s="208"/>
      <c r="U955" s="208"/>
      <c r="V955" s="208"/>
      <c r="W955" s="208"/>
      <c r="X955" s="208"/>
      <c r="Y955" s="208"/>
      <c r="Z955" s="208"/>
    </row>
    <row r="956" ht="12.0" customHeight="1">
      <c r="A956" s="208"/>
      <c r="B956" s="208"/>
      <c r="C956" s="208"/>
      <c r="D956" s="208"/>
      <c r="E956" s="208"/>
      <c r="F956" s="208"/>
      <c r="G956" s="208"/>
      <c r="H956" s="208"/>
      <c r="I956" s="208"/>
      <c r="J956" s="208"/>
      <c r="K956" s="208"/>
      <c r="L956" s="208"/>
      <c r="M956" s="208"/>
      <c r="N956" s="208"/>
      <c r="O956" s="208"/>
      <c r="P956" s="208"/>
      <c r="Q956" s="208"/>
      <c r="R956" s="208"/>
      <c r="S956" s="208"/>
      <c r="T956" s="208"/>
      <c r="U956" s="208"/>
      <c r="V956" s="208"/>
      <c r="W956" s="208"/>
      <c r="X956" s="208"/>
      <c r="Y956" s="208"/>
      <c r="Z956" s="208"/>
    </row>
    <row r="957" ht="12.0" customHeight="1">
      <c r="A957" s="208"/>
      <c r="B957" s="208"/>
      <c r="C957" s="208"/>
      <c r="D957" s="208"/>
      <c r="E957" s="208"/>
      <c r="F957" s="208"/>
      <c r="G957" s="208"/>
      <c r="H957" s="208"/>
      <c r="I957" s="208"/>
      <c r="J957" s="208"/>
      <c r="K957" s="208"/>
      <c r="L957" s="208"/>
      <c r="M957" s="208"/>
      <c r="N957" s="208"/>
      <c r="O957" s="208"/>
      <c r="P957" s="208"/>
      <c r="Q957" s="208"/>
      <c r="R957" s="208"/>
      <c r="S957" s="208"/>
      <c r="T957" s="208"/>
      <c r="U957" s="208"/>
      <c r="V957" s="208"/>
      <c r="W957" s="208"/>
      <c r="X957" s="208"/>
      <c r="Y957" s="208"/>
      <c r="Z957" s="208"/>
    </row>
    <row r="958" ht="12.0" customHeight="1">
      <c r="A958" s="208"/>
      <c r="B958" s="208"/>
      <c r="C958" s="208"/>
      <c r="D958" s="208"/>
      <c r="E958" s="208"/>
      <c r="F958" s="208"/>
      <c r="G958" s="208"/>
      <c r="H958" s="208"/>
      <c r="I958" s="208"/>
      <c r="J958" s="208"/>
      <c r="K958" s="208"/>
      <c r="L958" s="208"/>
      <c r="M958" s="208"/>
      <c r="N958" s="208"/>
      <c r="O958" s="208"/>
      <c r="P958" s="208"/>
      <c r="Q958" s="208"/>
      <c r="R958" s="208"/>
      <c r="S958" s="208"/>
      <c r="T958" s="208"/>
      <c r="U958" s="208"/>
      <c r="V958" s="208"/>
      <c r="W958" s="208"/>
      <c r="X958" s="208"/>
      <c r="Y958" s="208"/>
      <c r="Z958" s="208"/>
    </row>
    <row r="959" ht="12.0" customHeight="1">
      <c r="A959" s="208"/>
      <c r="B959" s="208"/>
      <c r="C959" s="208"/>
      <c r="D959" s="208"/>
      <c r="E959" s="208"/>
      <c r="F959" s="208"/>
      <c r="G959" s="208"/>
      <c r="H959" s="208"/>
      <c r="I959" s="208"/>
      <c r="J959" s="208"/>
      <c r="K959" s="208"/>
      <c r="L959" s="208"/>
      <c r="M959" s="208"/>
      <c r="N959" s="208"/>
      <c r="O959" s="208"/>
      <c r="P959" s="208"/>
      <c r="Q959" s="208"/>
      <c r="R959" s="208"/>
      <c r="S959" s="208"/>
      <c r="T959" s="208"/>
      <c r="U959" s="208"/>
      <c r="V959" s="208"/>
      <c r="W959" s="208"/>
      <c r="X959" s="208"/>
      <c r="Y959" s="208"/>
      <c r="Z959" s="208"/>
    </row>
    <row r="960" ht="12.0" customHeight="1">
      <c r="A960" s="208"/>
      <c r="B960" s="208"/>
      <c r="C960" s="208"/>
      <c r="D960" s="208"/>
      <c r="E960" s="208"/>
      <c r="F960" s="208"/>
      <c r="G960" s="208"/>
      <c r="H960" s="208"/>
      <c r="I960" s="208"/>
      <c r="J960" s="208"/>
      <c r="K960" s="208"/>
      <c r="L960" s="208"/>
      <c r="M960" s="208"/>
      <c r="N960" s="208"/>
      <c r="O960" s="208"/>
      <c r="P960" s="208"/>
      <c r="Q960" s="208"/>
      <c r="R960" s="208"/>
      <c r="S960" s="208"/>
      <c r="T960" s="208"/>
      <c r="U960" s="208"/>
      <c r="V960" s="208"/>
      <c r="W960" s="208"/>
      <c r="X960" s="208"/>
      <c r="Y960" s="208"/>
      <c r="Z960" s="208"/>
    </row>
    <row r="961" ht="12.0" customHeight="1">
      <c r="A961" s="208"/>
      <c r="B961" s="208"/>
      <c r="C961" s="208"/>
      <c r="D961" s="208"/>
      <c r="E961" s="208"/>
      <c r="F961" s="208"/>
      <c r="G961" s="208"/>
      <c r="H961" s="208"/>
      <c r="I961" s="208"/>
      <c r="J961" s="208"/>
      <c r="K961" s="208"/>
      <c r="L961" s="208"/>
      <c r="M961" s="208"/>
      <c r="N961" s="208"/>
      <c r="O961" s="208"/>
      <c r="P961" s="208"/>
      <c r="Q961" s="208"/>
      <c r="R961" s="208"/>
      <c r="S961" s="208"/>
      <c r="T961" s="208"/>
      <c r="U961" s="208"/>
      <c r="V961" s="208"/>
      <c r="W961" s="208"/>
      <c r="X961" s="208"/>
      <c r="Y961" s="208"/>
      <c r="Z961" s="208"/>
    </row>
    <row r="962" ht="12.0" customHeight="1">
      <c r="A962" s="208"/>
      <c r="B962" s="208"/>
      <c r="C962" s="208"/>
      <c r="D962" s="208"/>
      <c r="E962" s="208"/>
      <c r="F962" s="208"/>
      <c r="G962" s="208"/>
      <c r="H962" s="208"/>
      <c r="I962" s="208"/>
      <c r="J962" s="208"/>
      <c r="K962" s="208"/>
      <c r="L962" s="208"/>
      <c r="M962" s="208"/>
      <c r="N962" s="208"/>
      <c r="O962" s="208"/>
      <c r="P962" s="208"/>
      <c r="Q962" s="208"/>
      <c r="R962" s="208"/>
      <c r="S962" s="208"/>
      <c r="T962" s="208"/>
      <c r="U962" s="208"/>
      <c r="V962" s="208"/>
      <c r="W962" s="208"/>
      <c r="X962" s="208"/>
      <c r="Y962" s="208"/>
      <c r="Z962" s="208"/>
    </row>
    <row r="963" ht="12.0" customHeight="1">
      <c r="A963" s="208"/>
      <c r="B963" s="208"/>
      <c r="C963" s="208"/>
      <c r="D963" s="208"/>
      <c r="E963" s="208"/>
      <c r="F963" s="208"/>
      <c r="G963" s="208"/>
      <c r="H963" s="208"/>
      <c r="I963" s="208"/>
      <c r="J963" s="208"/>
      <c r="K963" s="208"/>
      <c r="L963" s="208"/>
      <c r="M963" s="208"/>
      <c r="N963" s="208"/>
      <c r="O963" s="208"/>
      <c r="P963" s="208"/>
      <c r="Q963" s="208"/>
      <c r="R963" s="208"/>
      <c r="S963" s="208"/>
      <c r="T963" s="208"/>
      <c r="U963" s="208"/>
      <c r="V963" s="208"/>
      <c r="W963" s="208"/>
      <c r="X963" s="208"/>
      <c r="Y963" s="208"/>
      <c r="Z963" s="208"/>
    </row>
    <row r="964" ht="12.0" customHeight="1">
      <c r="A964" s="208"/>
      <c r="B964" s="208"/>
      <c r="C964" s="208"/>
      <c r="D964" s="208"/>
      <c r="E964" s="208"/>
      <c r="F964" s="208"/>
      <c r="G964" s="208"/>
      <c r="H964" s="208"/>
      <c r="I964" s="208"/>
      <c r="J964" s="208"/>
      <c r="K964" s="208"/>
      <c r="L964" s="208"/>
      <c r="M964" s="208"/>
      <c r="N964" s="208"/>
      <c r="O964" s="208"/>
      <c r="P964" s="208"/>
      <c r="Q964" s="208"/>
      <c r="R964" s="208"/>
      <c r="S964" s="208"/>
      <c r="T964" s="208"/>
      <c r="U964" s="208"/>
      <c r="V964" s="208"/>
      <c r="W964" s="208"/>
      <c r="X964" s="208"/>
      <c r="Y964" s="208"/>
      <c r="Z964" s="208"/>
    </row>
    <row r="965" ht="12.0" customHeight="1">
      <c r="A965" s="208"/>
      <c r="B965" s="208"/>
      <c r="C965" s="208"/>
      <c r="D965" s="208"/>
      <c r="E965" s="208"/>
      <c r="F965" s="208"/>
      <c r="G965" s="208"/>
      <c r="H965" s="208"/>
      <c r="I965" s="208"/>
      <c r="J965" s="208"/>
      <c r="K965" s="208"/>
      <c r="L965" s="208"/>
      <c r="M965" s="208"/>
      <c r="N965" s="208"/>
      <c r="O965" s="208"/>
      <c r="P965" s="208"/>
      <c r="Q965" s="208"/>
      <c r="R965" s="208"/>
      <c r="S965" s="208"/>
      <c r="T965" s="208"/>
      <c r="U965" s="208"/>
      <c r="V965" s="208"/>
      <c r="W965" s="208"/>
      <c r="X965" s="208"/>
      <c r="Y965" s="208"/>
      <c r="Z965" s="208"/>
    </row>
    <row r="966" ht="12.0" customHeight="1">
      <c r="A966" s="208"/>
      <c r="B966" s="208"/>
      <c r="C966" s="208"/>
      <c r="D966" s="208"/>
      <c r="E966" s="208"/>
      <c r="F966" s="208"/>
      <c r="G966" s="208"/>
      <c r="H966" s="208"/>
      <c r="I966" s="208"/>
      <c r="J966" s="208"/>
      <c r="K966" s="208"/>
      <c r="L966" s="208"/>
      <c r="M966" s="208"/>
      <c r="N966" s="208"/>
      <c r="O966" s="208"/>
      <c r="P966" s="208"/>
      <c r="Q966" s="208"/>
      <c r="R966" s="208"/>
      <c r="S966" s="208"/>
      <c r="T966" s="208"/>
      <c r="U966" s="208"/>
      <c r="V966" s="208"/>
      <c r="W966" s="208"/>
      <c r="X966" s="208"/>
      <c r="Y966" s="208"/>
      <c r="Z966" s="208"/>
    </row>
    <row r="967" ht="12.0" customHeight="1">
      <c r="A967" s="208"/>
      <c r="B967" s="208"/>
      <c r="C967" s="208"/>
      <c r="D967" s="208"/>
      <c r="E967" s="208"/>
      <c r="F967" s="208"/>
      <c r="G967" s="208"/>
      <c r="H967" s="208"/>
      <c r="I967" s="208"/>
      <c r="J967" s="208"/>
      <c r="K967" s="208"/>
      <c r="L967" s="208"/>
      <c r="M967" s="208"/>
      <c r="N967" s="208"/>
      <c r="O967" s="208"/>
      <c r="P967" s="208"/>
      <c r="Q967" s="208"/>
      <c r="R967" s="208"/>
      <c r="S967" s="208"/>
      <c r="T967" s="208"/>
      <c r="U967" s="208"/>
      <c r="V967" s="208"/>
      <c r="W967" s="208"/>
      <c r="X967" s="208"/>
      <c r="Y967" s="208"/>
      <c r="Z967" s="208"/>
    </row>
    <row r="968" ht="12.0" customHeight="1">
      <c r="A968" s="208"/>
      <c r="B968" s="208"/>
      <c r="C968" s="208"/>
      <c r="D968" s="208"/>
      <c r="E968" s="208"/>
      <c r="F968" s="208"/>
      <c r="G968" s="208"/>
      <c r="H968" s="208"/>
      <c r="I968" s="208"/>
      <c r="J968" s="208"/>
      <c r="K968" s="208"/>
      <c r="L968" s="208"/>
      <c r="M968" s="208"/>
      <c r="N968" s="208"/>
      <c r="O968" s="208"/>
      <c r="P968" s="208"/>
      <c r="Q968" s="208"/>
      <c r="R968" s="208"/>
      <c r="S968" s="208"/>
      <c r="T968" s="208"/>
      <c r="U968" s="208"/>
      <c r="V968" s="208"/>
      <c r="W968" s="208"/>
      <c r="X968" s="208"/>
      <c r="Y968" s="208"/>
      <c r="Z968" s="208"/>
    </row>
    <row r="969" ht="12.0" customHeight="1">
      <c r="A969" s="208"/>
      <c r="B969" s="208"/>
      <c r="C969" s="208"/>
      <c r="D969" s="208"/>
      <c r="E969" s="208"/>
      <c r="F969" s="208"/>
      <c r="G969" s="208"/>
      <c r="H969" s="208"/>
      <c r="I969" s="208"/>
      <c r="J969" s="208"/>
      <c r="K969" s="208"/>
      <c r="L969" s="208"/>
      <c r="M969" s="208"/>
      <c r="N969" s="208"/>
      <c r="O969" s="208"/>
      <c r="P969" s="208"/>
      <c r="Q969" s="208"/>
      <c r="R969" s="208"/>
      <c r="S969" s="208"/>
      <c r="T969" s="208"/>
      <c r="U969" s="208"/>
      <c r="V969" s="208"/>
      <c r="W969" s="208"/>
      <c r="X969" s="208"/>
      <c r="Y969" s="208"/>
      <c r="Z969" s="208"/>
    </row>
    <row r="970" ht="12.0" customHeight="1">
      <c r="A970" s="208"/>
      <c r="B970" s="208"/>
      <c r="C970" s="208"/>
      <c r="D970" s="208"/>
      <c r="E970" s="208"/>
      <c r="F970" s="208"/>
      <c r="G970" s="208"/>
      <c r="H970" s="208"/>
      <c r="I970" s="208"/>
      <c r="J970" s="208"/>
      <c r="K970" s="208"/>
      <c r="L970" s="208"/>
      <c r="M970" s="208"/>
      <c r="N970" s="208"/>
      <c r="O970" s="208"/>
      <c r="P970" s="208"/>
      <c r="Q970" s="208"/>
      <c r="R970" s="208"/>
      <c r="S970" s="208"/>
      <c r="T970" s="208"/>
      <c r="U970" s="208"/>
      <c r="V970" s="208"/>
      <c r="W970" s="208"/>
      <c r="X970" s="208"/>
      <c r="Y970" s="208"/>
      <c r="Z970" s="208"/>
    </row>
    <row r="971" ht="12.0" customHeight="1">
      <c r="A971" s="208"/>
      <c r="B971" s="208"/>
      <c r="C971" s="208"/>
      <c r="D971" s="208"/>
      <c r="E971" s="208"/>
      <c r="F971" s="208"/>
      <c r="G971" s="208"/>
      <c r="H971" s="208"/>
      <c r="I971" s="208"/>
      <c r="J971" s="208"/>
      <c r="K971" s="208"/>
      <c r="L971" s="208"/>
      <c r="M971" s="208"/>
      <c r="N971" s="208"/>
      <c r="O971" s="208"/>
      <c r="P971" s="208"/>
      <c r="Q971" s="208"/>
      <c r="R971" s="208"/>
      <c r="S971" s="208"/>
      <c r="T971" s="208"/>
      <c r="U971" s="208"/>
      <c r="V971" s="208"/>
      <c r="W971" s="208"/>
      <c r="X971" s="208"/>
      <c r="Y971" s="208"/>
      <c r="Z971" s="208"/>
    </row>
    <row r="972" ht="12.0" customHeight="1">
      <c r="A972" s="208"/>
      <c r="B972" s="208"/>
      <c r="C972" s="208"/>
      <c r="D972" s="208"/>
      <c r="E972" s="208"/>
      <c r="F972" s="208"/>
      <c r="G972" s="208"/>
      <c r="H972" s="208"/>
      <c r="I972" s="208"/>
      <c r="J972" s="208"/>
      <c r="K972" s="208"/>
      <c r="L972" s="208"/>
      <c r="M972" s="208"/>
      <c r="N972" s="208"/>
      <c r="O972" s="208"/>
      <c r="P972" s="208"/>
      <c r="Q972" s="208"/>
      <c r="R972" s="208"/>
      <c r="S972" s="208"/>
      <c r="T972" s="208"/>
      <c r="U972" s="208"/>
      <c r="V972" s="208"/>
      <c r="W972" s="208"/>
      <c r="X972" s="208"/>
      <c r="Y972" s="208"/>
      <c r="Z972" s="208"/>
    </row>
    <row r="973" ht="12.0" customHeight="1">
      <c r="A973" s="208"/>
      <c r="B973" s="208"/>
      <c r="C973" s="208"/>
      <c r="D973" s="208"/>
      <c r="E973" s="208"/>
      <c r="F973" s="208"/>
      <c r="G973" s="208"/>
      <c r="H973" s="208"/>
      <c r="I973" s="208"/>
      <c r="J973" s="208"/>
      <c r="K973" s="208"/>
      <c r="L973" s="208"/>
      <c r="M973" s="208"/>
      <c r="N973" s="208"/>
      <c r="O973" s="208"/>
      <c r="P973" s="208"/>
      <c r="Q973" s="208"/>
      <c r="R973" s="208"/>
      <c r="S973" s="208"/>
      <c r="T973" s="208"/>
      <c r="U973" s="208"/>
      <c r="V973" s="208"/>
      <c r="W973" s="208"/>
      <c r="X973" s="208"/>
      <c r="Y973" s="208"/>
      <c r="Z973" s="208"/>
    </row>
    <row r="974" ht="12.0" customHeight="1">
      <c r="A974" s="208"/>
      <c r="B974" s="208"/>
      <c r="C974" s="208"/>
      <c r="D974" s="208"/>
      <c r="E974" s="208"/>
      <c r="F974" s="208"/>
      <c r="G974" s="208"/>
      <c r="H974" s="208"/>
      <c r="I974" s="208"/>
      <c r="J974" s="208"/>
      <c r="K974" s="208"/>
      <c r="L974" s="208"/>
      <c r="M974" s="208"/>
      <c r="N974" s="208"/>
      <c r="O974" s="208"/>
      <c r="P974" s="208"/>
      <c r="Q974" s="208"/>
      <c r="R974" s="208"/>
      <c r="S974" s="208"/>
      <c r="T974" s="208"/>
      <c r="U974" s="208"/>
      <c r="V974" s="208"/>
      <c r="W974" s="208"/>
      <c r="X974" s="208"/>
      <c r="Y974" s="208"/>
      <c r="Z974" s="208"/>
    </row>
    <row r="975" ht="12.0" customHeight="1">
      <c r="A975" s="208"/>
      <c r="B975" s="208"/>
      <c r="C975" s="208"/>
      <c r="D975" s="208"/>
      <c r="E975" s="208"/>
      <c r="F975" s="208"/>
      <c r="G975" s="208"/>
      <c r="H975" s="208"/>
      <c r="I975" s="208"/>
      <c r="J975" s="208"/>
      <c r="K975" s="208"/>
      <c r="L975" s="208"/>
      <c r="M975" s="208"/>
      <c r="N975" s="208"/>
      <c r="O975" s="208"/>
      <c r="P975" s="208"/>
      <c r="Q975" s="208"/>
      <c r="R975" s="208"/>
      <c r="S975" s="208"/>
      <c r="T975" s="208"/>
      <c r="U975" s="208"/>
      <c r="V975" s="208"/>
      <c r="W975" s="208"/>
      <c r="X975" s="208"/>
      <c r="Y975" s="208"/>
      <c r="Z975" s="208"/>
    </row>
    <row r="976" ht="12.0" customHeight="1">
      <c r="A976" s="208"/>
      <c r="B976" s="208"/>
      <c r="C976" s="208"/>
      <c r="D976" s="208"/>
      <c r="E976" s="208"/>
      <c r="F976" s="208"/>
      <c r="G976" s="208"/>
      <c r="H976" s="208"/>
      <c r="I976" s="208"/>
      <c r="J976" s="208"/>
      <c r="K976" s="208"/>
      <c r="L976" s="208"/>
      <c r="M976" s="208"/>
      <c r="N976" s="208"/>
      <c r="O976" s="208"/>
      <c r="P976" s="208"/>
      <c r="Q976" s="208"/>
      <c r="R976" s="208"/>
      <c r="S976" s="208"/>
      <c r="T976" s="208"/>
      <c r="U976" s="208"/>
      <c r="V976" s="208"/>
      <c r="W976" s="208"/>
      <c r="X976" s="208"/>
      <c r="Y976" s="208"/>
      <c r="Z976" s="208"/>
    </row>
    <row r="977" ht="12.0" customHeight="1">
      <c r="A977" s="208"/>
      <c r="B977" s="208"/>
      <c r="C977" s="208"/>
      <c r="D977" s="208"/>
      <c r="E977" s="208"/>
      <c r="F977" s="208"/>
      <c r="G977" s="208"/>
      <c r="H977" s="208"/>
      <c r="I977" s="208"/>
      <c r="J977" s="208"/>
      <c r="K977" s="208"/>
      <c r="L977" s="208"/>
      <c r="M977" s="208"/>
      <c r="N977" s="208"/>
      <c r="O977" s="208"/>
      <c r="P977" s="208"/>
      <c r="Q977" s="208"/>
      <c r="R977" s="208"/>
      <c r="S977" s="208"/>
      <c r="T977" s="208"/>
      <c r="U977" s="208"/>
      <c r="V977" s="208"/>
      <c r="W977" s="208"/>
      <c r="X977" s="208"/>
      <c r="Y977" s="208"/>
      <c r="Z977" s="208"/>
    </row>
    <row r="978" ht="12.0" customHeight="1">
      <c r="A978" s="208"/>
      <c r="B978" s="208"/>
      <c r="C978" s="208"/>
      <c r="D978" s="208"/>
      <c r="E978" s="208"/>
      <c r="F978" s="208"/>
      <c r="G978" s="208"/>
      <c r="H978" s="208"/>
      <c r="I978" s="208"/>
      <c r="J978" s="208"/>
      <c r="K978" s="208"/>
      <c r="L978" s="208"/>
      <c r="M978" s="208"/>
      <c r="N978" s="208"/>
      <c r="O978" s="208"/>
      <c r="P978" s="208"/>
      <c r="Q978" s="208"/>
      <c r="R978" s="208"/>
      <c r="S978" s="208"/>
      <c r="T978" s="208"/>
      <c r="U978" s="208"/>
      <c r="V978" s="208"/>
      <c r="W978" s="208"/>
      <c r="X978" s="208"/>
      <c r="Y978" s="208"/>
      <c r="Z978" s="208"/>
    </row>
    <row r="979" ht="12.0" customHeight="1">
      <c r="A979" s="208"/>
      <c r="B979" s="208"/>
      <c r="C979" s="208"/>
      <c r="D979" s="208"/>
      <c r="E979" s="208"/>
      <c r="F979" s="208"/>
      <c r="G979" s="208"/>
      <c r="H979" s="208"/>
      <c r="I979" s="208"/>
      <c r="J979" s="208"/>
      <c r="K979" s="208"/>
      <c r="L979" s="208"/>
      <c r="M979" s="208"/>
      <c r="N979" s="208"/>
      <c r="O979" s="208"/>
      <c r="P979" s="208"/>
      <c r="Q979" s="208"/>
      <c r="R979" s="208"/>
      <c r="S979" s="208"/>
      <c r="T979" s="208"/>
      <c r="U979" s="208"/>
      <c r="V979" s="208"/>
      <c r="W979" s="208"/>
      <c r="X979" s="208"/>
      <c r="Y979" s="208"/>
      <c r="Z979" s="208"/>
    </row>
    <row r="980" ht="12.0" customHeight="1">
      <c r="A980" s="208"/>
      <c r="B980" s="208"/>
      <c r="C980" s="208"/>
      <c r="D980" s="208"/>
      <c r="E980" s="208"/>
      <c r="F980" s="208"/>
      <c r="G980" s="208"/>
      <c r="H980" s="208"/>
      <c r="I980" s="208"/>
      <c r="J980" s="208"/>
      <c r="K980" s="208"/>
      <c r="L980" s="208"/>
      <c r="M980" s="208"/>
      <c r="N980" s="208"/>
      <c r="O980" s="208"/>
      <c r="P980" s="208"/>
      <c r="Q980" s="208"/>
      <c r="R980" s="208"/>
      <c r="S980" s="208"/>
      <c r="T980" s="208"/>
      <c r="U980" s="208"/>
      <c r="V980" s="208"/>
      <c r="W980" s="208"/>
      <c r="X980" s="208"/>
      <c r="Y980" s="208"/>
      <c r="Z980" s="208"/>
    </row>
    <row r="981" ht="12.0" customHeight="1">
      <c r="A981" s="208"/>
      <c r="B981" s="208"/>
      <c r="C981" s="208"/>
      <c r="D981" s="208"/>
      <c r="E981" s="208"/>
      <c r="F981" s="208"/>
      <c r="G981" s="208"/>
      <c r="H981" s="208"/>
      <c r="I981" s="208"/>
      <c r="J981" s="208"/>
      <c r="K981" s="208"/>
      <c r="L981" s="208"/>
      <c r="M981" s="208"/>
      <c r="N981" s="208"/>
      <c r="O981" s="208"/>
      <c r="P981" s="208"/>
      <c r="Q981" s="208"/>
      <c r="R981" s="208"/>
      <c r="S981" s="208"/>
      <c r="T981" s="208"/>
      <c r="U981" s="208"/>
      <c r="V981" s="208"/>
      <c r="W981" s="208"/>
      <c r="X981" s="208"/>
      <c r="Y981" s="208"/>
      <c r="Z981" s="208"/>
    </row>
    <row r="982" ht="12.0" customHeight="1">
      <c r="A982" s="208"/>
      <c r="B982" s="208"/>
      <c r="C982" s="208"/>
      <c r="D982" s="208"/>
      <c r="E982" s="208"/>
      <c r="F982" s="208"/>
      <c r="G982" s="208"/>
      <c r="H982" s="208"/>
      <c r="I982" s="208"/>
      <c r="J982" s="208"/>
      <c r="K982" s="208"/>
      <c r="L982" s="208"/>
      <c r="M982" s="208"/>
      <c r="N982" s="208"/>
      <c r="O982" s="208"/>
      <c r="P982" s="208"/>
      <c r="Q982" s="208"/>
      <c r="R982" s="208"/>
      <c r="S982" s="208"/>
      <c r="T982" s="208"/>
      <c r="U982" s="208"/>
      <c r="V982" s="208"/>
      <c r="W982" s="208"/>
      <c r="X982" s="208"/>
      <c r="Y982" s="208"/>
      <c r="Z982" s="208"/>
    </row>
    <row r="983" ht="12.0" customHeight="1">
      <c r="A983" s="208"/>
      <c r="B983" s="208"/>
      <c r="C983" s="208"/>
      <c r="D983" s="208"/>
      <c r="E983" s="208"/>
      <c r="F983" s="208"/>
      <c r="G983" s="208"/>
      <c r="H983" s="208"/>
      <c r="I983" s="208"/>
      <c r="J983" s="208"/>
      <c r="K983" s="208"/>
      <c r="L983" s="208"/>
      <c r="M983" s="208"/>
      <c r="N983" s="208"/>
      <c r="O983" s="208"/>
      <c r="P983" s="208"/>
      <c r="Q983" s="208"/>
      <c r="R983" s="208"/>
      <c r="S983" s="208"/>
      <c r="T983" s="208"/>
      <c r="U983" s="208"/>
      <c r="V983" s="208"/>
      <c r="W983" s="208"/>
      <c r="X983" s="208"/>
      <c r="Y983" s="208"/>
      <c r="Z983" s="208"/>
    </row>
    <row r="984" ht="12.0" customHeight="1">
      <c r="A984" s="208"/>
      <c r="B984" s="208"/>
      <c r="C984" s="208"/>
      <c r="D984" s="208"/>
      <c r="E984" s="208"/>
      <c r="F984" s="208"/>
      <c r="G984" s="208"/>
      <c r="H984" s="208"/>
      <c r="I984" s="208"/>
      <c r="J984" s="208"/>
      <c r="K984" s="208"/>
      <c r="L984" s="208"/>
      <c r="M984" s="208"/>
      <c r="N984" s="208"/>
      <c r="O984" s="208"/>
      <c r="P984" s="208"/>
      <c r="Q984" s="208"/>
      <c r="R984" s="208"/>
      <c r="S984" s="208"/>
      <c r="T984" s="208"/>
      <c r="U984" s="208"/>
      <c r="V984" s="208"/>
      <c r="W984" s="208"/>
      <c r="X984" s="208"/>
      <c r="Y984" s="208"/>
      <c r="Z984" s="208"/>
    </row>
    <row r="985" ht="12.0" customHeight="1">
      <c r="A985" s="208"/>
      <c r="B985" s="208"/>
      <c r="C985" s="208"/>
      <c r="D985" s="208"/>
      <c r="E985" s="208"/>
      <c r="F985" s="208"/>
      <c r="G985" s="208"/>
      <c r="H985" s="208"/>
      <c r="I985" s="208"/>
      <c r="J985" s="208"/>
      <c r="K985" s="208"/>
      <c r="L985" s="208"/>
      <c r="M985" s="208"/>
      <c r="N985" s="208"/>
      <c r="O985" s="208"/>
      <c r="P985" s="208"/>
      <c r="Q985" s="208"/>
      <c r="R985" s="208"/>
      <c r="S985" s="208"/>
      <c r="T985" s="208"/>
      <c r="U985" s="208"/>
      <c r="V985" s="208"/>
      <c r="W985" s="208"/>
      <c r="X985" s="208"/>
      <c r="Y985" s="208"/>
      <c r="Z985" s="208"/>
    </row>
    <row r="986" ht="12.0" customHeight="1">
      <c r="A986" s="208"/>
      <c r="B986" s="208"/>
      <c r="C986" s="208"/>
      <c r="D986" s="208"/>
      <c r="E986" s="208"/>
      <c r="F986" s="208"/>
      <c r="G986" s="208"/>
      <c r="H986" s="208"/>
      <c r="I986" s="208"/>
      <c r="J986" s="208"/>
      <c r="K986" s="208"/>
      <c r="L986" s="208"/>
      <c r="M986" s="208"/>
      <c r="N986" s="208"/>
      <c r="O986" s="208"/>
      <c r="P986" s="208"/>
      <c r="Q986" s="208"/>
      <c r="R986" s="208"/>
      <c r="S986" s="208"/>
      <c r="T986" s="208"/>
      <c r="U986" s="208"/>
      <c r="V986" s="208"/>
      <c r="W986" s="208"/>
      <c r="X986" s="208"/>
      <c r="Y986" s="208"/>
      <c r="Z986" s="208"/>
    </row>
    <row r="987" ht="12.0" customHeight="1">
      <c r="A987" s="208"/>
      <c r="B987" s="208"/>
      <c r="C987" s="208"/>
      <c r="D987" s="208"/>
      <c r="E987" s="208"/>
      <c r="F987" s="208"/>
      <c r="G987" s="208"/>
      <c r="H987" s="208"/>
      <c r="I987" s="208"/>
      <c r="J987" s="208"/>
      <c r="K987" s="208"/>
      <c r="L987" s="208"/>
      <c r="M987" s="208"/>
      <c r="N987" s="208"/>
      <c r="O987" s="208"/>
      <c r="P987" s="208"/>
      <c r="Q987" s="208"/>
      <c r="R987" s="208"/>
      <c r="S987" s="208"/>
      <c r="T987" s="208"/>
      <c r="U987" s="208"/>
      <c r="V987" s="208"/>
      <c r="W987" s="208"/>
      <c r="X987" s="208"/>
      <c r="Y987" s="208"/>
      <c r="Z987" s="208"/>
    </row>
    <row r="988" ht="12.0" customHeight="1">
      <c r="A988" s="208"/>
      <c r="B988" s="208"/>
      <c r="C988" s="208"/>
      <c r="D988" s="208"/>
      <c r="E988" s="208"/>
      <c r="F988" s="208"/>
      <c r="G988" s="208"/>
      <c r="H988" s="208"/>
      <c r="I988" s="208"/>
      <c r="J988" s="208"/>
      <c r="K988" s="208"/>
      <c r="L988" s="208"/>
      <c r="M988" s="208"/>
      <c r="N988" s="208"/>
      <c r="O988" s="208"/>
      <c r="P988" s="208"/>
      <c r="Q988" s="208"/>
      <c r="R988" s="208"/>
      <c r="S988" s="208"/>
      <c r="T988" s="208"/>
      <c r="U988" s="208"/>
      <c r="V988" s="208"/>
      <c r="W988" s="208"/>
      <c r="X988" s="208"/>
      <c r="Y988" s="208"/>
      <c r="Z988" s="208"/>
    </row>
    <row r="989" ht="12.0" customHeight="1">
      <c r="A989" s="208"/>
      <c r="B989" s="208"/>
      <c r="C989" s="208"/>
      <c r="D989" s="208"/>
      <c r="E989" s="208"/>
      <c r="F989" s="208"/>
      <c r="G989" s="208"/>
      <c r="H989" s="208"/>
      <c r="I989" s="208"/>
      <c r="J989" s="208"/>
      <c r="K989" s="208"/>
      <c r="L989" s="208"/>
      <c r="M989" s="208"/>
      <c r="N989" s="208"/>
      <c r="O989" s="208"/>
      <c r="P989" s="208"/>
      <c r="Q989" s="208"/>
      <c r="R989" s="208"/>
      <c r="S989" s="208"/>
      <c r="T989" s="208"/>
      <c r="U989" s="208"/>
      <c r="V989" s="208"/>
      <c r="W989" s="208"/>
      <c r="X989" s="208"/>
      <c r="Y989" s="208"/>
      <c r="Z989" s="208"/>
    </row>
    <row r="990" ht="12.0" customHeight="1">
      <c r="A990" s="208"/>
      <c r="B990" s="208"/>
      <c r="C990" s="208"/>
      <c r="D990" s="208"/>
      <c r="E990" s="208"/>
      <c r="F990" s="208"/>
      <c r="G990" s="208"/>
      <c r="H990" s="208"/>
      <c r="I990" s="208"/>
      <c r="J990" s="208"/>
      <c r="K990" s="208"/>
      <c r="L990" s="208"/>
      <c r="M990" s="208"/>
      <c r="N990" s="208"/>
      <c r="O990" s="208"/>
      <c r="P990" s="208"/>
      <c r="Q990" s="208"/>
      <c r="R990" s="208"/>
      <c r="S990" s="208"/>
      <c r="T990" s="208"/>
      <c r="U990" s="208"/>
      <c r="V990" s="208"/>
      <c r="W990" s="208"/>
      <c r="X990" s="208"/>
      <c r="Y990" s="208"/>
      <c r="Z990" s="208"/>
    </row>
    <row r="991" ht="12.0" customHeight="1">
      <c r="A991" s="208"/>
      <c r="B991" s="208"/>
      <c r="C991" s="208"/>
      <c r="D991" s="208"/>
      <c r="E991" s="208"/>
      <c r="F991" s="208"/>
      <c r="G991" s="208"/>
      <c r="H991" s="208"/>
      <c r="I991" s="208"/>
      <c r="J991" s="208"/>
      <c r="K991" s="208"/>
      <c r="L991" s="208"/>
      <c r="M991" s="208"/>
      <c r="N991" s="208"/>
      <c r="O991" s="208"/>
      <c r="P991" s="208"/>
      <c r="Q991" s="208"/>
      <c r="R991" s="208"/>
      <c r="S991" s="208"/>
      <c r="T991" s="208"/>
      <c r="U991" s="208"/>
      <c r="V991" s="208"/>
      <c r="W991" s="208"/>
      <c r="X991" s="208"/>
      <c r="Y991" s="208"/>
      <c r="Z991" s="208"/>
    </row>
    <row r="992" ht="12.0" customHeight="1">
      <c r="A992" s="208"/>
      <c r="B992" s="208"/>
      <c r="C992" s="208"/>
      <c r="D992" s="208"/>
      <c r="E992" s="208"/>
      <c r="F992" s="208"/>
      <c r="G992" s="208"/>
      <c r="H992" s="208"/>
      <c r="I992" s="208"/>
      <c r="J992" s="208"/>
      <c r="K992" s="208"/>
      <c r="L992" s="208"/>
      <c r="M992" s="208"/>
      <c r="N992" s="208"/>
      <c r="O992" s="208"/>
      <c r="P992" s="208"/>
      <c r="Q992" s="208"/>
      <c r="R992" s="208"/>
      <c r="S992" s="208"/>
      <c r="T992" s="208"/>
      <c r="U992" s="208"/>
      <c r="V992" s="208"/>
      <c r="W992" s="208"/>
      <c r="X992" s="208"/>
      <c r="Y992" s="208"/>
      <c r="Z992" s="208"/>
    </row>
    <row r="993" ht="12.0" customHeight="1">
      <c r="A993" s="208"/>
      <c r="B993" s="208"/>
      <c r="C993" s="208"/>
      <c r="D993" s="208"/>
      <c r="E993" s="208"/>
      <c r="F993" s="208"/>
      <c r="G993" s="208"/>
      <c r="H993" s="208"/>
      <c r="I993" s="208"/>
      <c r="J993" s="208"/>
      <c r="K993" s="208"/>
      <c r="L993" s="208"/>
      <c r="M993" s="208"/>
      <c r="N993" s="208"/>
      <c r="O993" s="208"/>
      <c r="P993" s="208"/>
      <c r="Q993" s="208"/>
      <c r="R993" s="208"/>
      <c r="S993" s="208"/>
      <c r="T993" s="208"/>
      <c r="U993" s="208"/>
      <c r="V993" s="208"/>
      <c r="W993" s="208"/>
      <c r="X993" s="208"/>
      <c r="Y993" s="208"/>
      <c r="Z993" s="208"/>
    </row>
    <row r="994" ht="12.0" customHeight="1">
      <c r="A994" s="208"/>
      <c r="B994" s="208"/>
      <c r="C994" s="208"/>
      <c r="D994" s="208"/>
      <c r="E994" s="208"/>
      <c r="F994" s="208"/>
      <c r="G994" s="208"/>
      <c r="H994" s="208"/>
      <c r="I994" s="208"/>
      <c r="J994" s="208"/>
      <c r="K994" s="208"/>
      <c r="L994" s="208"/>
      <c r="M994" s="208"/>
      <c r="N994" s="208"/>
      <c r="O994" s="208"/>
      <c r="P994" s="208"/>
      <c r="Q994" s="208"/>
      <c r="R994" s="208"/>
      <c r="S994" s="208"/>
      <c r="T994" s="208"/>
      <c r="U994" s="208"/>
      <c r="V994" s="208"/>
      <c r="W994" s="208"/>
      <c r="X994" s="208"/>
      <c r="Y994" s="208"/>
      <c r="Z994" s="208"/>
    </row>
    <row r="995" ht="12.0" customHeight="1">
      <c r="A995" s="208"/>
      <c r="B995" s="208"/>
      <c r="C995" s="208"/>
      <c r="D995" s="208"/>
      <c r="E995" s="208"/>
      <c r="F995" s="208"/>
      <c r="G995" s="208"/>
      <c r="H995" s="208"/>
      <c r="I995" s="208"/>
      <c r="J995" s="208"/>
      <c r="K995" s="208"/>
      <c r="L995" s="208"/>
      <c r="M995" s="208"/>
      <c r="N995" s="208"/>
      <c r="O995" s="208"/>
      <c r="P995" s="208"/>
      <c r="Q995" s="208"/>
      <c r="R995" s="208"/>
      <c r="S995" s="208"/>
      <c r="T995" s="208"/>
      <c r="U995" s="208"/>
      <c r="V995" s="208"/>
      <c r="W995" s="208"/>
      <c r="X995" s="208"/>
      <c r="Y995" s="208"/>
      <c r="Z995" s="208"/>
    </row>
    <row r="996" ht="12.0" customHeight="1">
      <c r="A996" s="208"/>
      <c r="B996" s="208"/>
      <c r="C996" s="208"/>
      <c r="D996" s="208"/>
      <c r="E996" s="208"/>
      <c r="F996" s="208"/>
      <c r="G996" s="208"/>
      <c r="H996" s="208"/>
      <c r="I996" s="208"/>
      <c r="J996" s="208"/>
      <c r="K996" s="208"/>
      <c r="L996" s="208"/>
      <c r="M996" s="208"/>
      <c r="N996" s="208"/>
      <c r="O996" s="208"/>
      <c r="P996" s="208"/>
      <c r="Q996" s="208"/>
      <c r="R996" s="208"/>
      <c r="S996" s="208"/>
      <c r="T996" s="208"/>
      <c r="U996" s="208"/>
      <c r="V996" s="208"/>
      <c r="W996" s="208"/>
      <c r="X996" s="208"/>
      <c r="Y996" s="208"/>
      <c r="Z996" s="208"/>
    </row>
    <row r="997" ht="12.0" customHeight="1">
      <c r="A997" s="208"/>
      <c r="B997" s="208"/>
      <c r="C997" s="208"/>
      <c r="D997" s="208"/>
      <c r="E997" s="208"/>
      <c r="F997" s="208"/>
      <c r="G997" s="208"/>
      <c r="H997" s="208"/>
      <c r="I997" s="208"/>
      <c r="J997" s="208"/>
      <c r="K997" s="208"/>
      <c r="L997" s="208"/>
      <c r="M997" s="208"/>
      <c r="N997" s="208"/>
      <c r="O997" s="208"/>
      <c r="P997" s="208"/>
      <c r="Q997" s="208"/>
      <c r="R997" s="208"/>
      <c r="S997" s="208"/>
      <c r="T997" s="208"/>
      <c r="U997" s="208"/>
      <c r="V997" s="208"/>
      <c r="W997" s="208"/>
      <c r="X997" s="208"/>
      <c r="Y997" s="208"/>
      <c r="Z997" s="208"/>
    </row>
    <row r="998" ht="12.0" customHeight="1">
      <c r="A998" s="208"/>
      <c r="B998" s="208"/>
      <c r="C998" s="208"/>
      <c r="D998" s="208"/>
      <c r="E998" s="208"/>
      <c r="F998" s="208"/>
      <c r="G998" s="208"/>
      <c r="H998" s="208"/>
      <c r="I998" s="208"/>
      <c r="J998" s="208"/>
      <c r="K998" s="208"/>
      <c r="L998" s="208"/>
      <c r="M998" s="208"/>
      <c r="N998" s="208"/>
      <c r="O998" s="208"/>
      <c r="P998" s="208"/>
      <c r="Q998" s="208"/>
      <c r="R998" s="208"/>
      <c r="S998" s="208"/>
      <c r="T998" s="208"/>
      <c r="U998" s="208"/>
      <c r="V998" s="208"/>
      <c r="W998" s="208"/>
      <c r="X998" s="208"/>
      <c r="Y998" s="208"/>
      <c r="Z998" s="208"/>
    </row>
    <row r="999" ht="12.0" customHeight="1">
      <c r="A999" s="208"/>
      <c r="B999" s="208"/>
      <c r="C999" s="208"/>
      <c r="D999" s="208"/>
      <c r="E999" s="208"/>
      <c r="F999" s="208"/>
      <c r="G999" s="208"/>
      <c r="H999" s="208"/>
      <c r="I999" s="208"/>
      <c r="J999" s="208"/>
      <c r="K999" s="208"/>
      <c r="L999" s="208"/>
      <c r="M999" s="208"/>
      <c r="N999" s="208"/>
      <c r="O999" s="208"/>
      <c r="P999" s="208"/>
      <c r="Q999" s="208"/>
      <c r="R999" s="208"/>
      <c r="S999" s="208"/>
      <c r="T999" s="208"/>
      <c r="U999" s="208"/>
      <c r="V999" s="208"/>
      <c r="W999" s="208"/>
      <c r="X999" s="208"/>
      <c r="Y999" s="208"/>
      <c r="Z999" s="208"/>
    </row>
    <row r="1000" ht="12.0" customHeight="1">
      <c r="A1000" s="208"/>
      <c r="B1000" s="208"/>
      <c r="C1000" s="208"/>
      <c r="D1000" s="208"/>
      <c r="E1000" s="208"/>
      <c r="F1000" s="208"/>
      <c r="G1000" s="208"/>
      <c r="H1000" s="208"/>
      <c r="I1000" s="208"/>
      <c r="J1000" s="208"/>
      <c r="K1000" s="208"/>
      <c r="L1000" s="208"/>
      <c r="M1000" s="208"/>
      <c r="N1000" s="208"/>
      <c r="O1000" s="208"/>
      <c r="P1000" s="208"/>
      <c r="Q1000" s="208"/>
      <c r="R1000" s="208"/>
      <c r="S1000" s="208"/>
      <c r="T1000" s="208"/>
      <c r="U1000" s="208"/>
      <c r="V1000" s="208"/>
      <c r="W1000" s="208"/>
      <c r="X1000" s="208"/>
      <c r="Y1000" s="208"/>
      <c r="Z1000" s="208"/>
    </row>
  </sheetData>
  <hyperlinks>
    <hyperlink r:id="rId2" ref="D122"/>
    <hyperlink r:id="rId3" ref="D123"/>
    <hyperlink r:id="rId4" ref="D134"/>
    <hyperlink r:id="rId5" ref="D135"/>
    <hyperlink r:id="rId6" ref="D175"/>
    <hyperlink r:id="rId7" ref="D176"/>
  </hyperlinks>
  <printOptions/>
  <pageMargins bottom="0.75" footer="0.0" header="0.0" left="0.7" right="0.7" top="0.75"/>
  <pageSetup paperSize="9" orientation="portrait"/>
  <drawing r:id="rId8"/>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1" max="26" width="6.67"/>
  </cols>
  <sheetData>
    <row r="1" ht="12.75" customHeight="1">
      <c r="A1" s="11"/>
      <c r="B1" s="11"/>
      <c r="C1" s="11"/>
      <c r="D1" s="11"/>
      <c r="E1" s="11"/>
      <c r="F1" s="11"/>
      <c r="G1" s="11"/>
      <c r="H1" s="11"/>
      <c r="I1" s="11"/>
      <c r="J1" s="11"/>
      <c r="K1" s="11"/>
      <c r="L1" s="11"/>
      <c r="M1" s="11"/>
      <c r="N1" s="11"/>
      <c r="O1" s="11"/>
      <c r="P1" s="11"/>
      <c r="Q1" s="11"/>
      <c r="R1" s="11"/>
      <c r="S1" s="11"/>
      <c r="T1" s="11"/>
      <c r="U1" s="11"/>
      <c r="V1" s="11"/>
      <c r="W1" s="11"/>
      <c r="X1" s="11"/>
      <c r="Y1" s="11"/>
      <c r="Z1" s="11"/>
    </row>
    <row r="2" ht="12.75" customHeight="1">
      <c r="A2" s="11"/>
      <c r="B2" s="11"/>
      <c r="C2" s="11"/>
      <c r="D2" s="11"/>
      <c r="E2" s="11"/>
      <c r="F2" s="11"/>
      <c r="G2" s="11"/>
      <c r="H2" s="11"/>
      <c r="I2" s="11"/>
      <c r="J2" s="11"/>
      <c r="K2" s="11"/>
      <c r="L2" s="11"/>
      <c r="M2" s="11"/>
      <c r="N2" s="11"/>
      <c r="O2" s="11"/>
      <c r="P2" s="11"/>
      <c r="Q2" s="11"/>
      <c r="R2" s="11"/>
      <c r="S2" s="11"/>
      <c r="T2" s="11"/>
      <c r="U2" s="11"/>
      <c r="V2" s="11"/>
      <c r="W2" s="11"/>
      <c r="X2" s="11"/>
      <c r="Y2" s="11"/>
      <c r="Z2" s="11"/>
    </row>
    <row r="3" ht="12.75" customHeight="1">
      <c r="A3" s="11"/>
      <c r="B3" s="11"/>
      <c r="C3" s="11"/>
      <c r="D3" s="11"/>
      <c r="E3" s="11"/>
      <c r="F3" s="11"/>
      <c r="G3" s="11"/>
      <c r="H3" s="11"/>
      <c r="I3" s="11"/>
      <c r="J3" s="11"/>
      <c r="K3" s="11"/>
      <c r="L3" s="11"/>
      <c r="M3" s="11"/>
      <c r="N3" s="11"/>
      <c r="O3" s="11"/>
      <c r="P3" s="11"/>
      <c r="Q3" s="11"/>
      <c r="R3" s="11"/>
      <c r="S3" s="11"/>
      <c r="T3" s="11"/>
      <c r="U3" s="11"/>
      <c r="V3" s="11"/>
      <c r="W3" s="11"/>
      <c r="X3" s="11"/>
      <c r="Y3" s="11"/>
      <c r="Z3" s="11"/>
    </row>
    <row r="4" ht="12.75" customHeight="1">
      <c r="A4" s="11"/>
      <c r="B4" s="11"/>
      <c r="C4" s="11"/>
      <c r="D4" s="11"/>
      <c r="E4" s="11"/>
      <c r="F4" s="11"/>
      <c r="G4" s="11"/>
      <c r="H4" s="11"/>
      <c r="I4" s="11"/>
      <c r="J4" s="11"/>
      <c r="K4" s="11"/>
      <c r="L4" s="11"/>
      <c r="M4" s="11"/>
      <c r="N4" s="11"/>
      <c r="O4" s="11"/>
      <c r="P4" s="11"/>
      <c r="Q4" s="11"/>
      <c r="R4" s="11"/>
      <c r="S4" s="11"/>
      <c r="T4" s="11"/>
      <c r="U4" s="11"/>
      <c r="V4" s="11"/>
      <c r="W4" s="11"/>
      <c r="X4" s="11"/>
      <c r="Y4" s="11"/>
      <c r="Z4" s="11"/>
    </row>
    <row r="5" ht="12.75" customHeight="1">
      <c r="A5" s="11"/>
      <c r="B5" s="11"/>
      <c r="C5" s="11"/>
      <c r="D5" s="11"/>
      <c r="E5" s="11"/>
      <c r="F5" s="11"/>
      <c r="G5" s="11"/>
      <c r="H5" s="11"/>
      <c r="I5" s="11"/>
      <c r="J5" s="11"/>
      <c r="K5" s="11"/>
      <c r="L5" s="11"/>
      <c r="M5" s="11"/>
      <c r="N5" s="11"/>
      <c r="O5" s="11"/>
      <c r="P5" s="11"/>
      <c r="Q5" s="11"/>
      <c r="R5" s="11"/>
      <c r="S5" s="11"/>
      <c r="T5" s="11"/>
      <c r="U5" s="11"/>
      <c r="V5" s="11"/>
      <c r="W5" s="11"/>
      <c r="X5" s="11"/>
      <c r="Y5" s="11"/>
      <c r="Z5" s="11"/>
    </row>
    <row r="6" ht="12.75" customHeight="1">
      <c r="A6" s="11"/>
      <c r="B6" s="11"/>
      <c r="C6" s="11"/>
      <c r="D6" s="11"/>
      <c r="E6" s="11"/>
      <c r="F6" s="11"/>
      <c r="G6" s="11"/>
      <c r="H6" s="11"/>
      <c r="I6" s="11"/>
      <c r="J6" s="11"/>
      <c r="K6" s="11"/>
      <c r="L6" s="11"/>
      <c r="M6" s="11"/>
      <c r="N6" s="11"/>
      <c r="O6" s="11"/>
      <c r="P6" s="11"/>
      <c r="Q6" s="11"/>
      <c r="R6" s="11"/>
      <c r="S6" s="11"/>
      <c r="T6" s="11"/>
      <c r="U6" s="11"/>
      <c r="V6" s="11"/>
      <c r="W6" s="11"/>
      <c r="X6" s="11"/>
      <c r="Y6" s="11"/>
      <c r="Z6" s="11"/>
    </row>
    <row r="7" ht="12.75" customHeight="1">
      <c r="A7" s="11"/>
      <c r="B7" s="11"/>
      <c r="C7" s="11"/>
      <c r="D7" s="11"/>
      <c r="E7" s="11"/>
      <c r="F7" s="11"/>
      <c r="G7" s="11"/>
      <c r="H7" s="11"/>
      <c r="I7" s="11"/>
      <c r="J7" s="11"/>
      <c r="K7" s="11"/>
      <c r="L7" s="11"/>
      <c r="M7" s="11"/>
      <c r="N7" s="11"/>
      <c r="O7" s="11"/>
      <c r="P7" s="11"/>
      <c r="Q7" s="11"/>
      <c r="R7" s="11"/>
      <c r="S7" s="11"/>
      <c r="T7" s="11"/>
      <c r="U7" s="11"/>
      <c r="V7" s="11"/>
      <c r="W7" s="11"/>
      <c r="X7" s="11"/>
      <c r="Y7" s="11"/>
      <c r="Z7" s="11"/>
    </row>
    <row r="8" ht="12.75" customHeight="1">
      <c r="A8" s="11"/>
      <c r="B8" s="11"/>
      <c r="C8" s="11"/>
      <c r="D8" s="11"/>
      <c r="E8" s="11"/>
      <c r="F8" s="11"/>
      <c r="G8" s="11"/>
      <c r="H8" s="11"/>
      <c r="I8" s="11"/>
      <c r="J8" s="11"/>
      <c r="K8" s="11"/>
      <c r="L8" s="11"/>
      <c r="M8" s="11"/>
      <c r="N8" s="11"/>
      <c r="O8" s="11"/>
      <c r="P8" s="11"/>
      <c r="Q8" s="11"/>
      <c r="R8" s="11"/>
      <c r="S8" s="11"/>
      <c r="T8" s="11"/>
      <c r="U8" s="11"/>
      <c r="V8" s="11"/>
      <c r="W8" s="11"/>
      <c r="X8" s="11"/>
      <c r="Y8" s="11"/>
      <c r="Z8" s="11"/>
    </row>
    <row r="9" ht="12.75" customHeight="1">
      <c r="A9" s="11"/>
      <c r="B9" s="11"/>
      <c r="C9" s="11"/>
      <c r="D9" s="11"/>
      <c r="E9" s="11"/>
      <c r="F9" s="11"/>
      <c r="G9" s="11"/>
      <c r="H9" s="11"/>
      <c r="I9" s="11"/>
      <c r="J9" s="11"/>
      <c r="K9" s="11"/>
      <c r="L9" s="11"/>
      <c r="M9" s="11"/>
      <c r="N9" s="11"/>
      <c r="O9" s="11"/>
      <c r="P9" s="11"/>
      <c r="Q9" s="11"/>
      <c r="R9" s="11"/>
      <c r="S9" s="11"/>
      <c r="T9" s="11"/>
      <c r="U9" s="11"/>
      <c r="V9" s="11"/>
      <c r="W9" s="11"/>
      <c r="X9" s="11"/>
      <c r="Y9" s="11"/>
      <c r="Z9" s="11"/>
    </row>
    <row r="10" ht="12.75"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ht="12.75" customHeight="1">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ht="12.7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row>
    <row r="13" ht="12.75" customHeight="1">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ht="12.75" customHeight="1">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ht="12.75" customHeight="1">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ht="12.75" customHeight="1">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ht="12.75" customHeight="1">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ht="12.75" customHeight="1">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ht="12.75" customHeight="1">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ht="12.75" customHeight="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ht="12.75" customHeight="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ht="12.7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ht="12.75" customHeight="1">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ht="12.75" customHeight="1">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ht="12.75" customHeight="1">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ht="12.7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ht="12.75" customHeight="1">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ht="12.75"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ht="12.7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ht="12.7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ht="12.75"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ht="12.75"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ht="12.75"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ht="12.75"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ht="12.75"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ht="12.7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ht="12.7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ht="12.7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ht="12.75"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ht="12.75"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ht="12.7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ht="12.7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ht="12.75"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ht="12.75"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ht="12.75"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ht="12.75"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ht="12.75"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ht="12.75"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ht="12.75"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ht="12.75"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ht="12.75"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ht="12.75"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ht="12.75"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ht="12.75"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ht="12.75"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ht="12.7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ht="12.75"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ht="12.7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ht="12.75"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ht="12.7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ht="12.75"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ht="12.7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ht="12.75"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ht="12.7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ht="12.75"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ht="12.7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ht="12.75"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ht="12.7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ht="12.75"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ht="12.7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ht="12.75"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ht="12.7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ht="12.75"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ht="12.7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ht="12.75"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ht="12.75"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ht="12.75"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ht="12.7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ht="12.75"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ht="12.7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ht="12.75"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ht="12.7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ht="12.75"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ht="12.7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ht="12.75"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ht="12.75"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ht="12.75"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ht="12.75"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ht="12.75"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ht="12.75"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ht="12.75"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ht="12.75"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ht="12.75"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ht="12.75"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ht="12.75"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ht="12.75"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ht="12.75"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ht="12.75"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ht="12.75"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ht="12.75"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ht="12.75"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ht="12.75"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ht="12.75"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ht="12.75"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ht="12.75"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ht="12.75"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ht="12.75"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ht="12.75"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ht="12.75"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ht="12.75"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ht="12.75"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ht="12.75"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ht="12.75"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ht="12.75"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ht="12.75"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ht="12.75"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ht="12.75"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ht="12.75"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ht="12.75"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ht="12.75"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ht="12.75"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ht="12.75"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ht="12.75"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ht="12.75"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ht="12.75"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ht="12.75"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ht="12.75"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ht="12.75"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ht="12.75"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ht="12.75"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ht="12.75"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ht="12.75"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ht="12.75"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ht="12.75"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ht="12.75"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ht="12.75"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ht="12.75"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ht="12.75"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ht="12.75"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ht="12.75"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ht="12.75"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ht="12.75"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ht="12.75"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ht="12.75"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ht="12.75"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ht="12.75"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ht="12.75"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ht="12.75"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ht="12.7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ht="12.75"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ht="12.75"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ht="12.75"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ht="12.75"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ht="12.75"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ht="12.75"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ht="12.75"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ht="12.75"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ht="12.75"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ht="12.7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ht="12.75"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ht="12.75"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ht="12.75"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ht="12.75"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ht="12.75"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ht="12.75"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ht="12.75"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ht="12.75"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ht="12.75"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ht="12.75"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ht="12.75"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ht="12.75"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ht="12.75"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ht="12.75"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ht="12.75"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ht="12.75"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ht="12.75"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ht="12.75"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ht="12.75"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ht="12.75"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ht="12.75"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ht="12.75"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ht="12.75"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ht="12.75"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ht="12.75"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ht="12.75"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ht="12.75"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ht="12.75"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ht="12.75"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ht="12.75"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ht="12.75"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ht="12.75"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ht="12.75"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ht="12.75"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ht="12.75"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ht="12.75"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ht="12.75"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ht="12.75"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ht="12.75"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ht="12.75"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ht="12.75"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ht="12.75"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ht="12.75"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ht="12.75"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ht="12.75"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ht="12.75"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ht="12.75"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ht="12.75"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ht="12.75"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ht="12.75"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ht="12.75"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ht="12.75"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ht="12.75"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ht="12.75"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ht="12.75"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ht="12.75"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ht="12.75"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ht="12.75"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ht="12.75"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ht="12.75"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ht="12.75"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ht="12.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ht="12.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ht="12.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ht="12.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ht="12.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ht="12.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ht="12.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ht="12.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ht="12.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ht="12.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ht="12.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ht="12.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ht="12.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ht="12.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ht="12.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ht="12.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ht="12.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ht="12.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ht="12.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ht="12.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ht="12.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ht="12.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ht="12.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ht="12.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ht="12.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ht="12.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ht="12.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ht="12.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ht="12.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ht="12.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ht="12.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ht="12.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ht="12.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ht="12.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ht="12.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ht="12.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ht="12.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ht="12.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ht="12.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ht="12.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ht="12.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ht="12.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ht="12.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ht="12.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ht="12.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ht="12.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ht="12.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ht="12.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ht="12.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ht="12.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ht="12.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ht="12.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ht="12.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ht="12.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ht="12.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ht="12.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ht="12.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ht="12.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ht="12.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ht="12.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ht="12.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ht="12.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ht="12.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ht="12.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ht="12.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ht="12.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ht="12.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ht="12.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ht="12.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ht="12.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ht="12.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ht="12.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ht="12.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ht="12.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ht="12.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ht="12.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ht="12.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ht="12.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ht="12.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ht="12.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ht="12.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ht="12.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ht="12.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ht="12.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ht="12.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ht="12.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ht="12.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ht="12.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ht="12.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ht="12.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ht="12.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ht="12.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ht="12.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ht="12.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ht="12.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ht="12.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ht="12.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ht="12.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ht="12.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ht="12.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ht="12.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ht="12.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ht="12.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ht="12.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ht="12.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ht="12.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ht="12.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ht="12.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ht="12.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ht="12.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ht="12.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ht="12.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ht="12.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ht="12.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ht="12.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ht="12.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ht="12.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ht="12.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ht="12.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ht="12.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ht="12.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ht="12.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ht="12.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ht="12.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ht="12.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ht="12.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ht="12.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ht="12.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ht="12.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ht="12.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ht="12.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ht="12.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ht="12.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ht="12.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ht="12.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ht="12.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ht="12.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ht="12.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ht="12.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ht="12.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ht="12.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ht="12.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ht="12.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ht="12.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ht="12.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ht="12.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ht="12.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ht="12.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ht="12.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ht="12.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ht="12.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ht="12.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ht="12.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ht="12.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ht="12.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ht="12.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ht="12.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ht="12.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ht="12.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ht="12.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ht="12.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ht="12.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ht="12.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ht="12.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ht="12.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ht="12.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ht="12.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ht="12.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ht="12.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ht="12.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ht="12.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ht="12.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ht="12.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ht="12.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ht="12.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ht="12.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ht="12.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ht="12.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ht="12.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ht="12.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ht="12.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ht="12.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ht="12.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ht="12.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ht="12.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ht="12.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ht="12.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ht="12.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ht="12.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ht="12.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ht="12.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ht="12.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ht="12.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ht="12.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ht="12.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ht="12.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ht="12.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ht="12.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ht="12.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ht="12.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ht="12.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ht="12.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ht="12.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ht="12.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ht="12.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ht="12.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ht="12.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ht="12.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ht="12.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ht="12.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ht="12.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ht="12.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ht="12.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ht="12.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ht="12.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ht="12.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ht="12.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ht="12.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ht="12.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ht="12.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ht="12.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ht="12.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ht="12.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ht="12.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ht="12.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ht="12.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ht="12.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ht="12.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ht="12.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ht="12.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ht="12.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ht="12.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ht="12.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ht="12.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ht="12.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ht="12.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ht="12.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ht="12.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ht="12.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ht="12.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ht="12.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ht="12.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ht="12.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ht="12.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ht="12.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ht="12.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ht="12.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ht="12.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ht="12.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ht="12.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ht="12.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ht="12.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ht="12.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ht="12.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ht="12.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ht="12.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ht="12.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ht="12.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ht="12.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ht="12.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ht="12.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ht="12.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ht="12.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ht="12.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ht="12.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ht="12.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ht="12.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ht="12.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ht="12.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ht="12.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ht="12.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ht="12.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ht="12.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ht="12.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ht="12.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ht="12.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ht="12.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ht="12.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ht="12.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ht="12.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ht="12.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ht="12.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ht="12.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ht="12.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ht="12.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ht="12.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ht="12.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ht="12.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ht="12.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ht="12.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ht="12.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ht="12.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ht="12.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ht="12.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ht="12.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ht="12.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ht="12.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ht="12.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ht="12.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ht="12.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ht="12.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ht="12.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ht="12.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ht="12.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ht="12.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ht="12.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ht="12.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ht="12.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ht="12.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ht="12.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ht="12.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ht="12.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ht="12.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ht="12.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ht="12.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ht="12.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ht="12.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ht="12.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ht="12.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ht="12.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ht="12.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ht="12.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ht="12.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ht="12.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ht="12.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ht="12.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ht="12.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ht="12.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ht="12.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ht="12.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ht="12.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ht="12.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ht="12.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ht="12.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ht="12.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ht="12.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ht="12.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ht="12.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ht="12.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ht="12.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ht="12.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ht="12.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ht="12.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ht="12.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ht="12.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ht="12.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ht="12.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ht="12.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ht="12.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ht="12.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ht="12.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ht="12.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ht="12.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ht="12.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ht="12.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ht="12.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ht="12.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ht="12.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ht="12.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ht="12.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ht="12.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ht="12.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ht="12.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ht="12.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ht="12.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ht="12.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ht="12.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ht="12.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ht="12.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ht="12.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ht="12.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ht="12.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ht="12.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ht="12.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ht="12.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ht="12.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ht="12.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ht="12.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ht="12.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ht="12.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ht="12.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ht="12.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ht="12.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ht="12.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ht="12.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ht="12.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ht="12.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ht="12.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ht="12.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ht="12.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ht="12.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ht="12.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ht="12.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ht="12.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ht="12.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ht="12.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ht="12.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ht="12.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ht="12.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ht="12.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ht="12.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ht="12.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ht="12.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ht="12.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ht="12.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ht="12.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ht="12.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ht="12.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ht="12.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ht="12.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ht="12.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ht="12.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ht="12.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ht="12.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ht="12.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ht="12.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ht="12.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ht="12.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ht="12.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ht="12.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ht="12.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ht="12.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ht="12.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ht="12.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ht="12.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ht="12.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ht="12.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ht="12.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ht="12.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ht="12.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ht="12.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ht="12.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ht="12.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ht="12.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ht="12.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ht="12.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ht="12.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ht="12.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ht="12.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ht="12.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ht="12.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ht="12.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ht="12.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ht="12.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ht="12.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ht="12.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ht="12.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ht="12.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ht="12.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ht="12.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ht="12.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ht="12.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ht="12.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ht="12.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ht="12.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ht="12.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ht="12.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ht="12.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ht="12.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ht="12.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ht="12.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ht="12.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ht="12.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ht="12.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ht="12.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ht="12.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ht="12.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ht="12.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ht="12.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ht="12.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ht="12.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ht="12.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ht="12.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ht="12.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ht="12.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ht="12.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ht="12.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ht="12.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ht="12.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ht="12.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ht="12.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ht="12.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ht="12.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ht="12.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ht="12.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ht="12.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ht="12.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ht="12.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ht="12.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ht="12.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ht="12.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ht="12.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ht="12.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ht="12.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ht="12.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ht="12.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ht="12.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ht="12.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ht="12.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ht="12.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ht="12.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ht="12.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ht="12.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ht="12.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ht="12.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ht="12.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ht="12.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ht="12.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ht="12.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ht="12.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ht="12.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ht="12.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ht="12.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ht="12.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ht="12.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ht="12.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ht="12.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ht="12.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ht="12.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ht="12.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ht="12.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ht="12.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ht="12.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ht="12.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ht="12.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ht="12.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ht="12.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ht="12.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ht="12.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ht="12.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ht="12.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ht="12.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ht="12.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ht="12.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ht="12.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ht="12.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ht="12.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ht="12.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ht="12.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ht="12.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ht="12.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ht="12.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ht="12.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ht="12.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ht="12.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ht="12.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ht="12.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ht="12.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ht="12.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ht="12.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ht="12.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ht="12.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ht="12.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ht="12.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ht="12.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ht="12.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ht="12.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ht="12.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ht="12.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ht="12.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ht="12.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ht="12.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ht="12.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ht="12.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ht="12.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ht="12.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ht="12.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ht="12.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ht="12.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ht="12.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ht="12.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ht="12.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ht="12.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ht="12.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ht="12.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ht="12.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ht="12.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ht="12.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ht="12.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ht="12.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ht="12.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ht="12.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ht="12.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ht="12.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ht="12.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ht="12.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ht="12.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ht="12.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ht="12.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ht="12.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ht="12.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ht="12.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ht="12.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ht="12.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ht="12.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ht="12.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ht="12.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ht="12.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ht="12.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ht="12.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ht="12.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ht="12.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ht="12.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ht="12.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ht="12.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ht="12.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ht="12.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ht="12.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ht="12.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ht="12.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ht="12.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ht="12.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ht="12.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ht="12.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ht="12.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ht="12.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ht="12.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ht="12.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ht="12.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ht="12.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ht="12.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ht="12.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ht="12.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ht="12.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ht="12.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ht="12.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ht="12.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ht="12.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ht="12.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ht="12.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ht="12.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ht="12.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ht="12.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ht="12.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ht="12.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ht="12.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ht="12.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ht="12.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ht="12.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ht="12.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ht="12.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ht="12.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ht="12.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ht="12.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ht="12.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ht="12.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ht="12.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ht="12.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ht="12.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ht="12.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ht="12.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ht="12.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ht="12.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ht="12.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ht="12.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ht="12.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ht="12.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ht="12.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ht="12.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ht="12.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ht="12.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ht="12.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ht="12.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ht="12.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ht="12.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ht="12.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ht="12.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ht="12.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ht="12.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ht="12.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ht="12.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ht="12.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ht="12.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ht="12.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ht="12.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ht="12.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ht="12.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ht="12.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ht="12.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ht="12.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ht="12.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ht="12.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ht="12.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ht="12.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ht="12.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ht="12.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ht="12.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ht="12.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ht="12.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ht="12.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ht="12.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ht="12.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ht="12.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ht="12.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ht="12.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ht="12.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ht="12.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ht="12.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ht="12.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ht="12.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ht="12.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ht="12.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ht="12.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ht="12.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ht="12.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ht="12.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ht="12.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ht="12.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ht="12.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ht="12.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ht="12.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ht="12.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ht="12.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ht="12.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ht="12.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ht="12.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ht="12.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ht="12.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ht="12.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ht="12.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ht="12.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ht="12.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ht="12.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ht="12.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ht="12.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ht="12.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ht="12.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ht="12.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ht="12.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ht="12.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ht="12.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ht="12.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ht="12.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ht="12.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ht="12.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ht="12.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ht="12.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ht="12.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ht="12.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ht="12.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ht="12.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ht="12.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ht="12.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ht="12.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ht="12.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ht="12.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ht="12.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ht="12.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ht="12.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ht="12.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ht="12.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ht="12.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ht="12.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ht="12.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ht="12.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ht="12.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ht="12.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ht="12.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ht="12.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ht="12.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ht="12.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ht="12.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ht="12.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ht="12.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ht="12.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ht="12.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ht="12.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ht="12.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ht="12.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ht="12.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ht="12.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ht="12.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ht="12.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ht="12.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ht="12.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ht="12.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ht="12.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ht="12.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ht="12.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ht="12.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2" width="10.67"/>
    <col customWidth="1" min="3" max="3" width="93.22"/>
    <col customWidth="1" min="4" max="26" width="10.67"/>
  </cols>
  <sheetData>
    <row r="1" ht="36.0" customHeight="1">
      <c r="A1" s="6" t="s">
        <v>2765</v>
      </c>
      <c r="B1" s="2"/>
      <c r="C1" s="3"/>
      <c r="D1" s="221"/>
      <c r="E1" s="221"/>
      <c r="F1" s="221"/>
      <c r="G1" s="221"/>
      <c r="H1" s="221"/>
      <c r="I1" s="67"/>
      <c r="J1" s="9"/>
      <c r="K1" s="9"/>
      <c r="L1" s="9"/>
      <c r="M1" s="9"/>
      <c r="N1" s="9"/>
      <c r="O1" s="9"/>
      <c r="P1" s="9"/>
      <c r="Q1" s="9"/>
      <c r="R1" s="9"/>
      <c r="S1" s="9"/>
      <c r="T1" s="9"/>
      <c r="U1" s="9"/>
      <c r="V1" s="9"/>
      <c r="W1" s="9"/>
      <c r="X1" s="32"/>
      <c r="Y1" s="32"/>
      <c r="Z1" s="32"/>
    </row>
    <row r="2" ht="25.5" customHeight="1">
      <c r="A2" s="8" t="s">
        <v>3</v>
      </c>
      <c r="B2" s="2"/>
      <c r="C2" s="3"/>
      <c r="D2" s="222"/>
      <c r="E2" s="222"/>
      <c r="F2" s="222"/>
      <c r="G2" s="222"/>
      <c r="H2" s="222"/>
      <c r="I2" s="67"/>
      <c r="J2" s="9"/>
      <c r="K2" s="9"/>
      <c r="L2" s="9"/>
      <c r="M2" s="9"/>
      <c r="N2" s="9"/>
      <c r="O2" s="9"/>
      <c r="P2" s="9"/>
      <c r="Q2" s="9"/>
      <c r="R2" s="9"/>
      <c r="S2" s="9"/>
      <c r="T2" s="9"/>
      <c r="U2" s="9"/>
      <c r="V2" s="9"/>
      <c r="W2" s="9"/>
      <c r="X2" s="32"/>
      <c r="Y2" s="32"/>
      <c r="Z2" s="32"/>
    </row>
    <row r="3" ht="24.0" customHeight="1">
      <c r="A3" s="193" t="s">
        <v>2766</v>
      </c>
      <c r="B3" s="193" t="s">
        <v>6</v>
      </c>
      <c r="C3" s="193" t="s">
        <v>2767</v>
      </c>
      <c r="D3" s="138"/>
      <c r="E3" s="138"/>
      <c r="F3" s="138"/>
      <c r="G3" s="138"/>
      <c r="H3" s="138"/>
      <c r="I3" s="138"/>
      <c r="J3" s="138"/>
      <c r="K3" s="138"/>
      <c r="L3" s="138"/>
      <c r="M3" s="138"/>
      <c r="N3" s="138"/>
      <c r="O3" s="138"/>
      <c r="P3" s="138"/>
      <c r="Q3" s="138"/>
      <c r="R3" s="138"/>
      <c r="S3" s="138"/>
      <c r="T3" s="138"/>
      <c r="U3" s="138"/>
      <c r="V3" s="138"/>
      <c r="W3" s="138"/>
      <c r="X3" s="19"/>
      <c r="Y3" s="19"/>
      <c r="Z3" s="19"/>
    </row>
    <row r="4" ht="15.75" customHeight="1">
      <c r="A4" s="111" t="s">
        <v>2768</v>
      </c>
      <c r="B4" s="223">
        <v>42586.0</v>
      </c>
      <c r="C4" s="111" t="s">
        <v>2769</v>
      </c>
    </row>
    <row r="5" ht="15.75" customHeight="1">
      <c r="A5" s="111" t="s">
        <v>2770</v>
      </c>
      <c r="B5" s="223">
        <v>42596.0</v>
      </c>
      <c r="C5" s="111" t="s">
        <v>2771</v>
      </c>
    </row>
    <row r="6" ht="15.75" customHeight="1">
      <c r="A6" s="111" t="s">
        <v>2772</v>
      </c>
      <c r="B6" s="223">
        <v>42597.0</v>
      </c>
      <c r="C6" s="111" t="s">
        <v>2773</v>
      </c>
    </row>
    <row r="7" ht="15.75" customHeight="1">
      <c r="A7" s="111" t="s">
        <v>2774</v>
      </c>
      <c r="B7" s="223">
        <v>42598.0</v>
      </c>
      <c r="C7" s="111" t="s">
        <v>2775</v>
      </c>
    </row>
    <row r="8" ht="15.75" customHeight="1">
      <c r="A8" s="111" t="s">
        <v>2776</v>
      </c>
      <c r="B8" s="223">
        <v>42606.0</v>
      </c>
      <c r="C8" s="111" t="s">
        <v>2777</v>
      </c>
    </row>
    <row r="9" ht="15.75" customHeight="1">
      <c r="A9" s="111" t="s">
        <v>2778</v>
      </c>
      <c r="B9" s="223">
        <v>42607.0</v>
      </c>
      <c r="C9" s="111" t="s">
        <v>2779</v>
      </c>
    </row>
    <row r="10" ht="15.75" customHeight="1">
      <c r="A10" s="111" t="s">
        <v>2780</v>
      </c>
      <c r="B10" s="223">
        <v>42608.0</v>
      </c>
      <c r="C10" s="111" t="s">
        <v>2781</v>
      </c>
    </row>
    <row r="11" ht="15.75" customHeight="1">
      <c r="A11" s="111" t="s">
        <v>2782</v>
      </c>
      <c r="B11" s="223">
        <v>42608.0</v>
      </c>
      <c r="C11" s="111" t="s">
        <v>2783</v>
      </c>
    </row>
    <row r="12" ht="15.75" customHeight="1">
      <c r="A12" s="111" t="s">
        <v>2784</v>
      </c>
      <c r="B12" s="223">
        <v>42634.0</v>
      </c>
      <c r="C12" s="111" t="s">
        <v>2785</v>
      </c>
    </row>
    <row r="13" ht="15.75" customHeight="1">
      <c r="A13" s="111" t="s">
        <v>2786</v>
      </c>
      <c r="B13" s="223">
        <v>42636.0</v>
      </c>
      <c r="C13" s="111" t="s">
        <v>2787</v>
      </c>
    </row>
    <row r="14" ht="15.75" customHeight="1">
      <c r="A14" s="111" t="s">
        <v>2788</v>
      </c>
      <c r="B14" s="223">
        <v>42639.0</v>
      </c>
      <c r="C14" s="111" t="s">
        <v>2789</v>
      </c>
    </row>
    <row r="15" ht="15.75" customHeight="1">
      <c r="A15" s="111" t="s">
        <v>2790</v>
      </c>
      <c r="B15" s="223">
        <v>42649.0</v>
      </c>
      <c r="C15" s="111" t="s">
        <v>2791</v>
      </c>
    </row>
    <row r="16" ht="15.75" customHeight="1">
      <c r="A16" s="111" t="s">
        <v>2792</v>
      </c>
      <c r="B16" s="223">
        <v>42660.0</v>
      </c>
      <c r="C16" s="111" t="s">
        <v>2793</v>
      </c>
    </row>
    <row r="17" ht="15.75" customHeight="1">
      <c r="A17" s="111" t="s">
        <v>2794</v>
      </c>
      <c r="B17" s="223">
        <v>42690.0</v>
      </c>
      <c r="C17" s="111" t="s">
        <v>2795</v>
      </c>
    </row>
    <row r="18" ht="15.75" customHeight="1">
      <c r="A18" s="111" t="s">
        <v>2796</v>
      </c>
      <c r="B18" s="223">
        <v>42695.0</v>
      </c>
      <c r="C18" s="111" t="s">
        <v>2797</v>
      </c>
    </row>
    <row r="19" ht="15.75" customHeight="1">
      <c r="A19" s="111" t="s">
        <v>2798</v>
      </c>
      <c r="B19" s="223">
        <v>42697.0</v>
      </c>
      <c r="C19" s="111" t="s">
        <v>2799</v>
      </c>
    </row>
    <row r="20" ht="15.75" customHeight="1">
      <c r="A20" s="111" t="s">
        <v>2800</v>
      </c>
      <c r="B20" s="223">
        <v>42847.0</v>
      </c>
      <c r="C20" s="111" t="s">
        <v>2801</v>
      </c>
    </row>
    <row r="21" ht="15.75" customHeight="1">
      <c r="A21" s="111" t="s">
        <v>2802</v>
      </c>
      <c r="B21" s="223">
        <v>42853.0</v>
      </c>
      <c r="C21" s="111" t="s">
        <v>2803</v>
      </c>
    </row>
    <row r="22" ht="15.75" customHeight="1">
      <c r="A22" s="111" t="s">
        <v>2804</v>
      </c>
      <c r="B22" s="223">
        <v>43032.0</v>
      </c>
      <c r="C22" s="111" t="s">
        <v>2805</v>
      </c>
    </row>
    <row r="23" ht="15.75" customHeight="1">
      <c r="A23" s="111" t="s">
        <v>2806</v>
      </c>
      <c r="B23" s="223">
        <v>43386.0</v>
      </c>
      <c r="C23" s="111" t="s">
        <v>2807</v>
      </c>
    </row>
    <row r="24" ht="15.75" customHeight="1">
      <c r="A24" s="111"/>
      <c r="B24" s="224"/>
      <c r="C24" s="111"/>
    </row>
    <row r="25" ht="15.75" customHeight="1">
      <c r="A25" s="111"/>
      <c r="B25" s="224"/>
      <c r="C25" s="111"/>
    </row>
    <row r="26" ht="15.75" customHeight="1">
      <c r="A26" s="111"/>
      <c r="B26" s="224"/>
      <c r="C26" s="111"/>
    </row>
    <row r="27" ht="15.75" customHeight="1">
      <c r="B27" s="142"/>
    </row>
    <row r="28" ht="15.75" customHeight="1">
      <c r="B28" s="142"/>
    </row>
    <row r="29" ht="15.75" customHeight="1">
      <c r="B29" s="142"/>
    </row>
    <row r="30" ht="15.75" customHeight="1">
      <c r="B30" s="142"/>
    </row>
    <row r="31" ht="15.75" customHeight="1">
      <c r="B31" s="142"/>
    </row>
    <row r="32" ht="15.75" customHeight="1">
      <c r="B32" s="142"/>
    </row>
    <row r="33" ht="15.75" customHeight="1">
      <c r="B33" s="142"/>
    </row>
    <row r="34" ht="15.75" customHeight="1">
      <c r="B34" s="142"/>
    </row>
    <row r="35" ht="15.75" customHeight="1">
      <c r="B35" s="142"/>
    </row>
    <row r="36" ht="15.75" customHeight="1">
      <c r="B36" s="142"/>
    </row>
    <row r="37" ht="15.75" customHeight="1">
      <c r="B37" s="142"/>
    </row>
    <row r="38" ht="15.75" customHeight="1">
      <c r="B38" s="142"/>
    </row>
    <row r="39" ht="15.75" customHeight="1">
      <c r="B39" s="142"/>
    </row>
    <row r="40" ht="15.75" customHeight="1">
      <c r="B40" s="142"/>
    </row>
    <row r="41" ht="15.75" customHeight="1">
      <c r="B41" s="142"/>
    </row>
    <row r="42" ht="15.75" customHeight="1">
      <c r="B42" s="142"/>
    </row>
    <row r="43" ht="15.75" customHeight="1">
      <c r="B43" s="142"/>
    </row>
    <row r="44" ht="15.75" customHeight="1">
      <c r="B44" s="142"/>
    </row>
    <row r="45" ht="15.75" customHeight="1">
      <c r="B45" s="142"/>
    </row>
    <row r="46" ht="15.75" customHeight="1">
      <c r="B46" s="142"/>
    </row>
    <row r="47" ht="15.75" customHeight="1">
      <c r="B47" s="142"/>
    </row>
    <row r="48" ht="15.75" customHeight="1">
      <c r="B48" s="142"/>
    </row>
    <row r="49" ht="15.75" customHeight="1">
      <c r="B49" s="142"/>
    </row>
    <row r="50" ht="15.75" customHeight="1">
      <c r="B50" s="142"/>
    </row>
    <row r="51" ht="15.75" customHeight="1">
      <c r="B51" s="142"/>
    </row>
    <row r="52" ht="15.75" customHeight="1">
      <c r="B52" s="142"/>
    </row>
    <row r="53" ht="15.75" customHeight="1">
      <c r="B53" s="142"/>
    </row>
    <row r="54" ht="15.75" customHeight="1">
      <c r="B54" s="142"/>
    </row>
    <row r="55" ht="15.75" customHeight="1">
      <c r="B55" s="142"/>
    </row>
    <row r="56" ht="15.75" customHeight="1">
      <c r="B56" s="142"/>
    </row>
    <row r="57" ht="15.75" customHeight="1">
      <c r="B57" s="142"/>
    </row>
    <row r="58" ht="15.75" customHeight="1">
      <c r="B58" s="142"/>
    </row>
    <row r="59" ht="15.75" customHeight="1">
      <c r="B59" s="142"/>
    </row>
    <row r="60" ht="15.75" customHeight="1">
      <c r="B60" s="142"/>
    </row>
    <row r="61" ht="15.75" customHeight="1">
      <c r="B61" s="142"/>
    </row>
    <row r="62" ht="15.75" customHeight="1">
      <c r="B62" s="142"/>
    </row>
    <row r="63" ht="15.75" customHeight="1">
      <c r="B63" s="142"/>
    </row>
    <row r="64" ht="15.75" customHeight="1">
      <c r="B64" s="142"/>
    </row>
    <row r="65" ht="15.75" customHeight="1">
      <c r="B65" s="142"/>
    </row>
    <row r="66" ht="15.75" customHeight="1">
      <c r="B66" s="142"/>
    </row>
    <row r="67" ht="15.75" customHeight="1">
      <c r="B67" s="142"/>
    </row>
    <row r="68" ht="15.75" customHeight="1">
      <c r="B68" s="142"/>
    </row>
    <row r="69" ht="15.75" customHeight="1">
      <c r="B69" s="142"/>
    </row>
    <row r="70" ht="15.75" customHeight="1">
      <c r="B70" s="142"/>
    </row>
    <row r="71" ht="15.75" customHeight="1">
      <c r="B71" s="142"/>
    </row>
    <row r="72" ht="15.75" customHeight="1">
      <c r="B72" s="142"/>
    </row>
    <row r="73" ht="15.75" customHeight="1">
      <c r="B73" s="142"/>
    </row>
    <row r="74" ht="15.75" customHeight="1">
      <c r="B74" s="142"/>
    </row>
    <row r="75" ht="15.75" customHeight="1">
      <c r="B75" s="142"/>
    </row>
    <row r="76" ht="15.75" customHeight="1">
      <c r="B76" s="142"/>
    </row>
    <row r="77" ht="15.75" customHeight="1">
      <c r="B77" s="142"/>
    </row>
    <row r="78" ht="15.75" customHeight="1">
      <c r="B78" s="142"/>
    </row>
    <row r="79" ht="15.75" customHeight="1">
      <c r="B79" s="142"/>
    </row>
    <row r="80" ht="15.75" customHeight="1">
      <c r="B80" s="142"/>
    </row>
    <row r="81" ht="15.75" customHeight="1">
      <c r="B81" s="142"/>
    </row>
    <row r="82" ht="15.75" customHeight="1">
      <c r="B82" s="142"/>
    </row>
    <row r="83" ht="15.75" customHeight="1">
      <c r="B83" s="142"/>
    </row>
    <row r="84" ht="15.75" customHeight="1">
      <c r="B84" s="142"/>
    </row>
    <row r="85" ht="15.75" customHeight="1">
      <c r="B85" s="142"/>
    </row>
    <row r="86" ht="15.75" customHeight="1">
      <c r="B86" s="142"/>
    </row>
    <row r="87" ht="15.75" customHeight="1">
      <c r="B87" s="142"/>
    </row>
    <row r="88" ht="15.75" customHeight="1">
      <c r="B88" s="142"/>
    </row>
    <row r="89" ht="15.75" customHeight="1">
      <c r="B89" s="142"/>
    </row>
    <row r="90" ht="15.75" customHeight="1">
      <c r="B90" s="142"/>
    </row>
    <row r="91" ht="15.75" customHeight="1">
      <c r="B91" s="142"/>
    </row>
    <row r="92" ht="15.75" customHeight="1">
      <c r="B92" s="142"/>
    </row>
    <row r="93" ht="15.75" customHeight="1">
      <c r="B93" s="142"/>
    </row>
    <row r="94" ht="15.75" customHeight="1">
      <c r="B94" s="142"/>
    </row>
    <row r="95" ht="15.75" customHeight="1">
      <c r="B95" s="142"/>
    </row>
    <row r="96" ht="15.75" customHeight="1">
      <c r="B96" s="142"/>
    </row>
    <row r="97" ht="15.75" customHeight="1">
      <c r="B97" s="142"/>
    </row>
    <row r="98" ht="15.75" customHeight="1">
      <c r="B98" s="142"/>
    </row>
    <row r="99" ht="15.75" customHeight="1">
      <c r="B99" s="142"/>
    </row>
    <row r="100" ht="15.75" customHeight="1">
      <c r="B100" s="142"/>
    </row>
    <row r="101" ht="15.75" customHeight="1">
      <c r="B101" s="142"/>
    </row>
    <row r="102" ht="15.75" customHeight="1">
      <c r="B102" s="142"/>
    </row>
    <row r="103" ht="15.75" customHeight="1">
      <c r="B103" s="142"/>
    </row>
    <row r="104" ht="15.75" customHeight="1">
      <c r="B104" s="142"/>
    </row>
    <row r="105" ht="15.75" customHeight="1">
      <c r="B105" s="142"/>
    </row>
    <row r="106" ht="15.75" customHeight="1">
      <c r="B106" s="142"/>
    </row>
    <row r="107" ht="15.75" customHeight="1">
      <c r="B107" s="142"/>
    </row>
    <row r="108" ht="15.75" customHeight="1">
      <c r="B108" s="142"/>
    </row>
    <row r="109" ht="15.75" customHeight="1">
      <c r="B109" s="142"/>
    </row>
    <row r="110" ht="15.75" customHeight="1">
      <c r="B110" s="142"/>
    </row>
    <row r="111" ht="15.75" customHeight="1">
      <c r="B111" s="142"/>
    </row>
    <row r="112" ht="15.75" customHeight="1">
      <c r="B112" s="142"/>
    </row>
    <row r="113" ht="15.75" customHeight="1">
      <c r="B113" s="142"/>
    </row>
    <row r="114" ht="15.75" customHeight="1">
      <c r="B114" s="142"/>
    </row>
    <row r="115" ht="15.75" customHeight="1">
      <c r="B115" s="142"/>
    </row>
    <row r="116" ht="15.75" customHeight="1">
      <c r="B116" s="142"/>
    </row>
    <row r="117" ht="15.75" customHeight="1">
      <c r="B117" s="142"/>
    </row>
    <row r="118" ht="15.75" customHeight="1">
      <c r="B118" s="142"/>
    </row>
    <row r="119" ht="15.75" customHeight="1">
      <c r="B119" s="142"/>
    </row>
    <row r="120" ht="15.75" customHeight="1">
      <c r="B120" s="142"/>
    </row>
    <row r="121" ht="15.75" customHeight="1">
      <c r="B121" s="142"/>
    </row>
    <row r="122" ht="15.75" customHeight="1">
      <c r="B122" s="142"/>
    </row>
    <row r="123" ht="15.75" customHeight="1">
      <c r="B123" s="142"/>
    </row>
    <row r="124" ht="15.75" customHeight="1">
      <c r="B124" s="142"/>
    </row>
    <row r="125" ht="15.75" customHeight="1">
      <c r="B125" s="142"/>
    </row>
    <row r="126" ht="15.75" customHeight="1">
      <c r="B126" s="142"/>
    </row>
    <row r="127" ht="15.75" customHeight="1">
      <c r="B127" s="142"/>
    </row>
    <row r="128" ht="15.75" customHeight="1">
      <c r="B128" s="142"/>
    </row>
    <row r="129" ht="15.75" customHeight="1">
      <c r="B129" s="142"/>
    </row>
    <row r="130" ht="15.75" customHeight="1">
      <c r="B130" s="142"/>
    </row>
    <row r="131" ht="15.75" customHeight="1">
      <c r="B131" s="142"/>
    </row>
    <row r="132" ht="15.75" customHeight="1">
      <c r="B132" s="142"/>
    </row>
    <row r="133" ht="15.75" customHeight="1">
      <c r="B133" s="142"/>
    </row>
    <row r="134" ht="15.75" customHeight="1">
      <c r="B134" s="142"/>
    </row>
    <row r="135" ht="15.75" customHeight="1">
      <c r="B135" s="142"/>
    </row>
    <row r="136" ht="15.75" customHeight="1">
      <c r="B136" s="142"/>
    </row>
    <row r="137" ht="15.75" customHeight="1">
      <c r="B137" s="142"/>
    </row>
    <row r="138" ht="15.75" customHeight="1">
      <c r="B138" s="142"/>
    </row>
    <row r="139" ht="15.75" customHeight="1">
      <c r="B139" s="142"/>
    </row>
    <row r="140" ht="15.75" customHeight="1">
      <c r="B140" s="142"/>
    </row>
    <row r="141" ht="15.75" customHeight="1">
      <c r="B141" s="142"/>
    </row>
    <row r="142" ht="15.75" customHeight="1">
      <c r="B142" s="142"/>
    </row>
    <row r="143" ht="15.75" customHeight="1">
      <c r="B143" s="142"/>
    </row>
    <row r="144" ht="15.75" customHeight="1">
      <c r="B144" s="142"/>
    </row>
    <row r="145" ht="15.75" customHeight="1">
      <c r="B145" s="142"/>
    </row>
    <row r="146" ht="15.75" customHeight="1">
      <c r="B146" s="142"/>
    </row>
    <row r="147" ht="15.75" customHeight="1">
      <c r="B147" s="142"/>
    </row>
    <row r="148" ht="15.75" customHeight="1">
      <c r="B148" s="142"/>
    </row>
    <row r="149" ht="15.75" customHeight="1">
      <c r="B149" s="142"/>
    </row>
    <row r="150" ht="15.75" customHeight="1">
      <c r="B150" s="142"/>
    </row>
    <row r="151" ht="15.75" customHeight="1">
      <c r="B151" s="142"/>
    </row>
    <row r="152" ht="15.75" customHeight="1">
      <c r="B152" s="142"/>
    </row>
    <row r="153" ht="15.75" customHeight="1">
      <c r="B153" s="142"/>
    </row>
    <row r="154" ht="15.75" customHeight="1">
      <c r="B154" s="142"/>
    </row>
    <row r="155" ht="15.75" customHeight="1">
      <c r="B155" s="142"/>
    </row>
    <row r="156" ht="15.75" customHeight="1">
      <c r="B156" s="142"/>
    </row>
    <row r="157" ht="15.75" customHeight="1">
      <c r="B157" s="142"/>
    </row>
    <row r="158" ht="15.75" customHeight="1">
      <c r="B158" s="142"/>
    </row>
    <row r="159" ht="15.75" customHeight="1">
      <c r="B159" s="142"/>
    </row>
    <row r="160" ht="15.75" customHeight="1">
      <c r="B160" s="142"/>
    </row>
    <row r="161" ht="15.75" customHeight="1">
      <c r="B161" s="142"/>
    </row>
    <row r="162" ht="15.75" customHeight="1">
      <c r="B162" s="142"/>
    </row>
    <row r="163" ht="15.75" customHeight="1">
      <c r="B163" s="142"/>
    </row>
    <row r="164" ht="15.75" customHeight="1">
      <c r="B164" s="142"/>
    </row>
    <row r="165" ht="15.75" customHeight="1">
      <c r="B165" s="142"/>
    </row>
    <row r="166" ht="15.75" customHeight="1">
      <c r="B166" s="142"/>
    </row>
    <row r="167" ht="15.75" customHeight="1">
      <c r="B167" s="142"/>
    </row>
    <row r="168" ht="15.75" customHeight="1">
      <c r="B168" s="142"/>
    </row>
    <row r="169" ht="15.75" customHeight="1">
      <c r="B169" s="142"/>
    </row>
    <row r="170" ht="15.75" customHeight="1">
      <c r="B170" s="142"/>
    </row>
    <row r="171" ht="15.75" customHeight="1">
      <c r="B171" s="142"/>
    </row>
    <row r="172" ht="15.75" customHeight="1">
      <c r="B172" s="142"/>
    </row>
    <row r="173" ht="15.75" customHeight="1">
      <c r="B173" s="142"/>
    </row>
    <row r="174" ht="15.75" customHeight="1">
      <c r="B174" s="142"/>
    </row>
    <row r="175" ht="15.75" customHeight="1">
      <c r="B175" s="142"/>
    </row>
    <row r="176" ht="15.75" customHeight="1">
      <c r="B176" s="142"/>
    </row>
    <row r="177" ht="15.75" customHeight="1">
      <c r="B177" s="142"/>
    </row>
    <row r="178" ht="15.75" customHeight="1">
      <c r="B178" s="142"/>
    </row>
    <row r="179" ht="15.75" customHeight="1">
      <c r="B179" s="142"/>
    </row>
    <row r="180" ht="15.75" customHeight="1">
      <c r="B180" s="142"/>
    </row>
    <row r="181" ht="15.75" customHeight="1">
      <c r="B181" s="142"/>
    </row>
    <row r="182" ht="15.75" customHeight="1">
      <c r="B182" s="142"/>
    </row>
    <row r="183" ht="15.75" customHeight="1">
      <c r="B183" s="142"/>
    </row>
    <row r="184" ht="15.75" customHeight="1">
      <c r="B184" s="142"/>
    </row>
    <row r="185" ht="15.75" customHeight="1">
      <c r="B185" s="142"/>
    </row>
    <row r="186" ht="15.75" customHeight="1">
      <c r="B186" s="142"/>
    </row>
    <row r="187" ht="15.75" customHeight="1">
      <c r="B187" s="142"/>
    </row>
    <row r="188" ht="15.75" customHeight="1">
      <c r="B188" s="142"/>
    </row>
    <row r="189" ht="15.75" customHeight="1">
      <c r="B189" s="142"/>
    </row>
    <row r="190" ht="15.75" customHeight="1">
      <c r="B190" s="142"/>
    </row>
    <row r="191" ht="15.75" customHeight="1">
      <c r="B191" s="142"/>
    </row>
    <row r="192" ht="15.75" customHeight="1">
      <c r="B192" s="142"/>
    </row>
    <row r="193" ht="15.75" customHeight="1">
      <c r="B193" s="142"/>
    </row>
    <row r="194" ht="15.75" customHeight="1">
      <c r="B194" s="142"/>
    </row>
    <row r="195" ht="15.75" customHeight="1">
      <c r="B195" s="142"/>
    </row>
    <row r="196" ht="15.75" customHeight="1">
      <c r="B196" s="142"/>
    </row>
    <row r="197" ht="15.75" customHeight="1">
      <c r="B197" s="142"/>
    </row>
    <row r="198" ht="15.75" customHeight="1">
      <c r="B198" s="142"/>
    </row>
    <row r="199" ht="15.75" customHeight="1">
      <c r="B199" s="142"/>
    </row>
    <row r="200" ht="15.75" customHeight="1">
      <c r="B200" s="142"/>
    </row>
    <row r="201" ht="15.75" customHeight="1">
      <c r="B201" s="142"/>
    </row>
    <row r="202" ht="15.75" customHeight="1">
      <c r="B202" s="142"/>
    </row>
    <row r="203" ht="15.75" customHeight="1">
      <c r="B203" s="142"/>
    </row>
    <row r="204" ht="15.75" customHeight="1">
      <c r="B204" s="142"/>
    </row>
    <row r="205" ht="15.75" customHeight="1">
      <c r="B205" s="142"/>
    </row>
    <row r="206" ht="15.75" customHeight="1">
      <c r="B206" s="142"/>
    </row>
    <row r="207" ht="15.75" customHeight="1">
      <c r="B207" s="142"/>
    </row>
    <row r="208" ht="15.75" customHeight="1">
      <c r="B208" s="142"/>
    </row>
    <row r="209" ht="15.75" customHeight="1">
      <c r="B209" s="142"/>
    </row>
    <row r="210" ht="15.75" customHeight="1">
      <c r="B210" s="142"/>
    </row>
    <row r="211" ht="15.75" customHeight="1">
      <c r="B211" s="142"/>
    </row>
    <row r="212" ht="15.75" customHeight="1">
      <c r="B212" s="142"/>
    </row>
    <row r="213" ht="15.75" customHeight="1">
      <c r="B213" s="142"/>
    </row>
    <row r="214" ht="15.75" customHeight="1">
      <c r="B214" s="142"/>
    </row>
    <row r="215" ht="15.75" customHeight="1">
      <c r="B215" s="142"/>
    </row>
    <row r="216" ht="15.75" customHeight="1">
      <c r="B216" s="142"/>
    </row>
    <row r="217" ht="15.75" customHeight="1">
      <c r="B217" s="142"/>
    </row>
    <row r="218" ht="15.75" customHeight="1">
      <c r="B218" s="142"/>
    </row>
    <row r="219" ht="15.75" customHeight="1">
      <c r="B219" s="142"/>
    </row>
    <row r="220" ht="15.75" customHeight="1">
      <c r="B220" s="142"/>
    </row>
    <row r="221" ht="15.75" customHeight="1">
      <c r="B221" s="142"/>
    </row>
    <row r="222" ht="15.75" customHeight="1">
      <c r="B222" s="142"/>
    </row>
    <row r="223" ht="15.75" customHeight="1">
      <c r="B223" s="142"/>
    </row>
    <row r="224" ht="15.75" customHeight="1">
      <c r="B224" s="142"/>
    </row>
    <row r="225" ht="15.75" customHeight="1">
      <c r="B225" s="142"/>
    </row>
    <row r="226" ht="15.75" customHeight="1">
      <c r="B226" s="142"/>
    </row>
    <row r="227" ht="15.75" customHeight="1">
      <c r="B227" s="142"/>
    </row>
    <row r="228" ht="15.75" customHeight="1">
      <c r="B228" s="142"/>
    </row>
    <row r="229" ht="15.75" customHeight="1">
      <c r="B229" s="142"/>
    </row>
    <row r="230" ht="15.75" customHeight="1">
      <c r="B230" s="142"/>
    </row>
    <row r="231" ht="15.75" customHeight="1">
      <c r="B231" s="142"/>
    </row>
    <row r="232" ht="15.75" customHeight="1">
      <c r="B232" s="142"/>
    </row>
    <row r="233" ht="15.75" customHeight="1">
      <c r="B233" s="142"/>
    </row>
    <row r="234" ht="15.75" customHeight="1">
      <c r="B234" s="142"/>
    </row>
    <row r="235" ht="15.75" customHeight="1">
      <c r="B235" s="142"/>
    </row>
    <row r="236" ht="15.75" customHeight="1">
      <c r="B236" s="142"/>
    </row>
    <row r="237" ht="15.75" customHeight="1">
      <c r="B237" s="142"/>
    </row>
    <row r="238" ht="15.75" customHeight="1">
      <c r="B238" s="142"/>
    </row>
    <row r="239" ht="15.75" customHeight="1">
      <c r="B239" s="142"/>
    </row>
    <row r="240" ht="15.75" customHeight="1">
      <c r="B240" s="142"/>
    </row>
    <row r="241" ht="15.75" customHeight="1">
      <c r="B241" s="142"/>
    </row>
    <row r="242" ht="15.75" customHeight="1">
      <c r="B242" s="142"/>
    </row>
    <row r="243" ht="15.75" customHeight="1">
      <c r="B243" s="142"/>
    </row>
    <row r="244" ht="15.75" customHeight="1">
      <c r="B244" s="142"/>
    </row>
    <row r="245" ht="15.75" customHeight="1">
      <c r="B245" s="142"/>
    </row>
    <row r="246" ht="15.75" customHeight="1">
      <c r="B246" s="142"/>
    </row>
    <row r="247" ht="15.75" customHeight="1">
      <c r="B247" s="142"/>
    </row>
    <row r="248" ht="15.75" customHeight="1">
      <c r="B248" s="142"/>
    </row>
    <row r="249" ht="15.75" customHeight="1">
      <c r="B249" s="142"/>
    </row>
    <row r="250" ht="15.75" customHeight="1">
      <c r="B250" s="142"/>
    </row>
    <row r="251" ht="15.75" customHeight="1">
      <c r="B251" s="142"/>
    </row>
    <row r="252" ht="15.75" customHeight="1">
      <c r="B252" s="142"/>
    </row>
    <row r="253" ht="15.75" customHeight="1">
      <c r="B253" s="142"/>
    </row>
    <row r="254" ht="15.75" customHeight="1">
      <c r="B254" s="142"/>
    </row>
    <row r="255" ht="15.75" customHeight="1">
      <c r="B255" s="142"/>
    </row>
    <row r="256" ht="15.75" customHeight="1">
      <c r="B256" s="142"/>
    </row>
    <row r="257" ht="15.75" customHeight="1">
      <c r="B257" s="142"/>
    </row>
    <row r="258" ht="15.75" customHeight="1">
      <c r="B258" s="142"/>
    </row>
    <row r="259" ht="15.75" customHeight="1">
      <c r="B259" s="142"/>
    </row>
    <row r="260" ht="15.75" customHeight="1">
      <c r="B260" s="142"/>
    </row>
    <row r="261" ht="15.75" customHeight="1">
      <c r="B261" s="142"/>
    </row>
    <row r="262" ht="15.75" customHeight="1">
      <c r="B262" s="142"/>
    </row>
    <row r="263" ht="15.75" customHeight="1">
      <c r="B263" s="142"/>
    </row>
    <row r="264" ht="15.75" customHeight="1">
      <c r="B264" s="142"/>
    </row>
    <row r="265" ht="15.75" customHeight="1">
      <c r="B265" s="142"/>
    </row>
    <row r="266" ht="15.75" customHeight="1">
      <c r="B266" s="142"/>
    </row>
    <row r="267" ht="15.75" customHeight="1">
      <c r="B267" s="142"/>
    </row>
    <row r="268" ht="15.75" customHeight="1">
      <c r="B268" s="142"/>
    </row>
    <row r="269" ht="15.75" customHeight="1">
      <c r="B269" s="142"/>
    </row>
    <row r="270" ht="15.75" customHeight="1">
      <c r="B270" s="142"/>
    </row>
    <row r="271" ht="15.75" customHeight="1">
      <c r="B271" s="142"/>
    </row>
    <row r="272" ht="15.75" customHeight="1">
      <c r="B272" s="142"/>
    </row>
    <row r="273" ht="15.75" customHeight="1">
      <c r="B273" s="142"/>
    </row>
    <row r="274" ht="15.75" customHeight="1">
      <c r="B274" s="142"/>
    </row>
    <row r="275" ht="15.75" customHeight="1">
      <c r="B275" s="142"/>
    </row>
    <row r="276" ht="15.75" customHeight="1">
      <c r="B276" s="142"/>
    </row>
    <row r="277" ht="15.75" customHeight="1">
      <c r="B277" s="142"/>
    </row>
    <row r="278" ht="15.75" customHeight="1">
      <c r="B278" s="142"/>
    </row>
    <row r="279" ht="15.75" customHeight="1">
      <c r="B279" s="142"/>
    </row>
    <row r="280" ht="15.75" customHeight="1">
      <c r="B280" s="142"/>
    </row>
    <row r="281" ht="15.75" customHeight="1">
      <c r="B281" s="142"/>
    </row>
    <row r="282" ht="15.75" customHeight="1">
      <c r="B282" s="142"/>
    </row>
    <row r="283" ht="15.75" customHeight="1">
      <c r="B283" s="142"/>
    </row>
    <row r="284" ht="15.75" customHeight="1">
      <c r="B284" s="142"/>
    </row>
    <row r="285" ht="15.75" customHeight="1">
      <c r="B285" s="142"/>
    </row>
    <row r="286" ht="15.75" customHeight="1">
      <c r="B286" s="142"/>
    </row>
    <row r="287" ht="15.75" customHeight="1">
      <c r="B287" s="142"/>
    </row>
    <row r="288" ht="15.75" customHeight="1">
      <c r="B288" s="142"/>
    </row>
    <row r="289" ht="15.75" customHeight="1">
      <c r="B289" s="142"/>
    </row>
    <row r="290" ht="15.75" customHeight="1">
      <c r="B290" s="142"/>
    </row>
    <row r="291" ht="15.75" customHeight="1">
      <c r="B291" s="142"/>
    </row>
    <row r="292" ht="15.75" customHeight="1">
      <c r="B292" s="142"/>
    </row>
    <row r="293" ht="15.75" customHeight="1">
      <c r="B293" s="142"/>
    </row>
    <row r="294" ht="15.75" customHeight="1">
      <c r="B294" s="142"/>
    </row>
    <row r="295" ht="15.75" customHeight="1">
      <c r="B295" s="142"/>
    </row>
    <row r="296" ht="15.75" customHeight="1">
      <c r="B296" s="142"/>
    </row>
    <row r="297" ht="15.75" customHeight="1">
      <c r="B297" s="142"/>
    </row>
    <row r="298" ht="15.75" customHeight="1">
      <c r="B298" s="142"/>
    </row>
    <row r="299" ht="15.75" customHeight="1">
      <c r="B299" s="142"/>
    </row>
    <row r="300" ht="15.75" customHeight="1">
      <c r="B300" s="142"/>
    </row>
    <row r="301" ht="15.75" customHeight="1">
      <c r="B301" s="142"/>
    </row>
    <row r="302" ht="15.75" customHeight="1">
      <c r="B302" s="142"/>
    </row>
    <row r="303" ht="15.75" customHeight="1">
      <c r="B303" s="142"/>
    </row>
    <row r="304" ht="15.75" customHeight="1">
      <c r="B304" s="142"/>
    </row>
    <row r="305" ht="15.75" customHeight="1">
      <c r="B305" s="142"/>
    </row>
    <row r="306" ht="15.75" customHeight="1">
      <c r="B306" s="142"/>
    </row>
    <row r="307" ht="15.75" customHeight="1">
      <c r="B307" s="142"/>
    </row>
    <row r="308" ht="15.75" customHeight="1">
      <c r="B308" s="142"/>
    </row>
    <row r="309" ht="15.75" customHeight="1">
      <c r="B309" s="142"/>
    </row>
    <row r="310" ht="15.75" customHeight="1">
      <c r="B310" s="142"/>
    </row>
    <row r="311" ht="15.75" customHeight="1">
      <c r="B311" s="142"/>
    </row>
    <row r="312" ht="15.75" customHeight="1">
      <c r="B312" s="142"/>
    </row>
    <row r="313" ht="15.75" customHeight="1">
      <c r="B313" s="142"/>
    </row>
    <row r="314" ht="15.75" customHeight="1">
      <c r="B314" s="142"/>
    </row>
    <row r="315" ht="15.75" customHeight="1">
      <c r="B315" s="142"/>
    </row>
    <row r="316" ht="15.75" customHeight="1">
      <c r="B316" s="142"/>
    </row>
    <row r="317" ht="15.75" customHeight="1">
      <c r="B317" s="142"/>
    </row>
    <row r="318" ht="15.75" customHeight="1">
      <c r="B318" s="142"/>
    </row>
    <row r="319" ht="15.75" customHeight="1">
      <c r="B319" s="142"/>
    </row>
    <row r="320" ht="15.75" customHeight="1">
      <c r="B320" s="142"/>
    </row>
    <row r="321" ht="15.75" customHeight="1">
      <c r="B321" s="142"/>
    </row>
    <row r="322" ht="15.75" customHeight="1">
      <c r="B322" s="142"/>
    </row>
    <row r="323" ht="15.75" customHeight="1">
      <c r="B323" s="142"/>
    </row>
    <row r="324" ht="15.75" customHeight="1">
      <c r="B324" s="142"/>
    </row>
    <row r="325" ht="15.75" customHeight="1">
      <c r="B325" s="142"/>
    </row>
    <row r="326" ht="15.75" customHeight="1">
      <c r="B326" s="142"/>
    </row>
    <row r="327" ht="15.75" customHeight="1">
      <c r="B327" s="142"/>
    </row>
    <row r="328" ht="15.75" customHeight="1">
      <c r="B328" s="142"/>
    </row>
    <row r="329" ht="15.75" customHeight="1">
      <c r="B329" s="142"/>
    </row>
    <row r="330" ht="15.75" customHeight="1">
      <c r="B330" s="142"/>
    </row>
    <row r="331" ht="15.75" customHeight="1">
      <c r="B331" s="142"/>
    </row>
    <row r="332" ht="15.75" customHeight="1">
      <c r="B332" s="142"/>
    </row>
    <row r="333" ht="15.75" customHeight="1">
      <c r="B333" s="142"/>
    </row>
    <row r="334" ht="15.75" customHeight="1">
      <c r="B334" s="142"/>
    </row>
    <row r="335" ht="15.75" customHeight="1">
      <c r="B335" s="142"/>
    </row>
    <row r="336" ht="15.75" customHeight="1">
      <c r="B336" s="142"/>
    </row>
    <row r="337" ht="15.75" customHeight="1">
      <c r="B337" s="142"/>
    </row>
    <row r="338" ht="15.75" customHeight="1">
      <c r="B338" s="142"/>
    </row>
    <row r="339" ht="15.75" customHeight="1">
      <c r="B339" s="142"/>
    </row>
    <row r="340" ht="15.75" customHeight="1">
      <c r="B340" s="142"/>
    </row>
    <row r="341" ht="15.75" customHeight="1">
      <c r="B341" s="142"/>
    </row>
    <row r="342" ht="15.75" customHeight="1">
      <c r="B342" s="142"/>
    </row>
    <row r="343" ht="15.75" customHeight="1">
      <c r="B343" s="142"/>
    </row>
    <row r="344" ht="15.75" customHeight="1">
      <c r="B344" s="142"/>
    </row>
    <row r="345" ht="15.75" customHeight="1">
      <c r="B345" s="142"/>
    </row>
    <row r="346" ht="15.75" customHeight="1">
      <c r="B346" s="142"/>
    </row>
    <row r="347" ht="15.75" customHeight="1">
      <c r="B347" s="142"/>
    </row>
    <row r="348" ht="15.75" customHeight="1">
      <c r="B348" s="142"/>
    </row>
    <row r="349" ht="15.75" customHeight="1">
      <c r="B349" s="142"/>
    </row>
    <row r="350" ht="15.75" customHeight="1">
      <c r="B350" s="142"/>
    </row>
    <row r="351" ht="15.75" customHeight="1">
      <c r="B351" s="142"/>
    </row>
    <row r="352" ht="15.75" customHeight="1">
      <c r="B352" s="142"/>
    </row>
    <row r="353" ht="15.75" customHeight="1">
      <c r="B353" s="142"/>
    </row>
    <row r="354" ht="15.75" customHeight="1">
      <c r="B354" s="142"/>
    </row>
    <row r="355" ht="15.75" customHeight="1">
      <c r="B355" s="142"/>
    </row>
    <row r="356" ht="15.75" customHeight="1">
      <c r="B356" s="142"/>
    </row>
    <row r="357" ht="15.75" customHeight="1">
      <c r="B357" s="142"/>
    </row>
    <row r="358" ht="15.75" customHeight="1">
      <c r="B358" s="142"/>
    </row>
    <row r="359" ht="15.75" customHeight="1">
      <c r="B359" s="142"/>
    </row>
    <row r="360" ht="15.75" customHeight="1">
      <c r="B360" s="142"/>
    </row>
    <row r="361" ht="15.75" customHeight="1">
      <c r="B361" s="142"/>
    </row>
    <row r="362" ht="15.75" customHeight="1">
      <c r="B362" s="142"/>
    </row>
    <row r="363" ht="15.75" customHeight="1">
      <c r="B363" s="142"/>
    </row>
    <row r="364" ht="15.75" customHeight="1">
      <c r="B364" s="142"/>
    </row>
    <row r="365" ht="15.75" customHeight="1">
      <c r="B365" s="142"/>
    </row>
    <row r="366" ht="15.75" customHeight="1">
      <c r="B366" s="142"/>
    </row>
    <row r="367" ht="15.75" customHeight="1">
      <c r="B367" s="142"/>
    </row>
    <row r="368" ht="15.75" customHeight="1">
      <c r="B368" s="142"/>
    </row>
    <row r="369" ht="15.75" customHeight="1">
      <c r="B369" s="142"/>
    </row>
    <row r="370" ht="15.75" customHeight="1">
      <c r="B370" s="142"/>
    </row>
    <row r="371" ht="15.75" customHeight="1">
      <c r="B371" s="142"/>
    </row>
    <row r="372" ht="15.75" customHeight="1">
      <c r="B372" s="142"/>
    </row>
    <row r="373" ht="15.75" customHeight="1">
      <c r="B373" s="142"/>
    </row>
    <row r="374" ht="15.75" customHeight="1">
      <c r="B374" s="142"/>
    </row>
    <row r="375" ht="15.75" customHeight="1">
      <c r="B375" s="142"/>
    </row>
    <row r="376" ht="15.75" customHeight="1">
      <c r="B376" s="142"/>
    </row>
    <row r="377" ht="15.75" customHeight="1">
      <c r="B377" s="142"/>
    </row>
    <row r="378" ht="15.75" customHeight="1">
      <c r="B378" s="142"/>
    </row>
    <row r="379" ht="15.75" customHeight="1">
      <c r="B379" s="142"/>
    </row>
    <row r="380" ht="15.75" customHeight="1">
      <c r="B380" s="142"/>
    </row>
    <row r="381" ht="15.75" customHeight="1">
      <c r="B381" s="142"/>
    </row>
    <row r="382" ht="15.75" customHeight="1">
      <c r="B382" s="142"/>
    </row>
    <row r="383" ht="15.75" customHeight="1">
      <c r="B383" s="142"/>
    </row>
    <row r="384" ht="15.75" customHeight="1">
      <c r="B384" s="142"/>
    </row>
    <row r="385" ht="15.75" customHeight="1">
      <c r="B385" s="142"/>
    </row>
    <row r="386" ht="15.75" customHeight="1">
      <c r="B386" s="142"/>
    </row>
    <row r="387" ht="15.75" customHeight="1">
      <c r="B387" s="142"/>
    </row>
    <row r="388" ht="15.75" customHeight="1">
      <c r="B388" s="142"/>
    </row>
    <row r="389" ht="15.75" customHeight="1">
      <c r="B389" s="142"/>
    </row>
    <row r="390" ht="15.75" customHeight="1">
      <c r="B390" s="142"/>
    </row>
    <row r="391" ht="15.75" customHeight="1">
      <c r="B391" s="142"/>
    </row>
    <row r="392" ht="15.75" customHeight="1">
      <c r="B392" s="142"/>
    </row>
    <row r="393" ht="15.75" customHeight="1">
      <c r="B393" s="142"/>
    </row>
    <row r="394" ht="15.75" customHeight="1">
      <c r="B394" s="142"/>
    </row>
    <row r="395" ht="15.75" customHeight="1">
      <c r="B395" s="142"/>
    </row>
    <row r="396" ht="15.75" customHeight="1">
      <c r="B396" s="142"/>
    </row>
    <row r="397" ht="15.75" customHeight="1">
      <c r="B397" s="142"/>
    </row>
    <row r="398" ht="15.75" customHeight="1">
      <c r="B398" s="142"/>
    </row>
    <row r="399" ht="15.75" customHeight="1">
      <c r="B399" s="142"/>
    </row>
    <row r="400" ht="15.75" customHeight="1">
      <c r="B400" s="142"/>
    </row>
    <row r="401" ht="15.75" customHeight="1">
      <c r="B401" s="142"/>
    </row>
    <row r="402" ht="15.75" customHeight="1">
      <c r="B402" s="142"/>
    </row>
    <row r="403" ht="15.75" customHeight="1">
      <c r="B403" s="142"/>
    </row>
    <row r="404" ht="15.75" customHeight="1">
      <c r="B404" s="142"/>
    </row>
    <row r="405" ht="15.75" customHeight="1">
      <c r="B405" s="142"/>
    </row>
    <row r="406" ht="15.75" customHeight="1">
      <c r="B406" s="142"/>
    </row>
    <row r="407" ht="15.75" customHeight="1">
      <c r="B407" s="142"/>
    </row>
    <row r="408" ht="15.75" customHeight="1">
      <c r="B408" s="142"/>
    </row>
    <row r="409" ht="15.75" customHeight="1">
      <c r="B409" s="142"/>
    </row>
    <row r="410" ht="15.75" customHeight="1">
      <c r="B410" s="142"/>
    </row>
    <row r="411" ht="15.75" customHeight="1">
      <c r="B411" s="142"/>
    </row>
    <row r="412" ht="15.75" customHeight="1">
      <c r="B412" s="142"/>
    </row>
    <row r="413" ht="15.75" customHeight="1">
      <c r="B413" s="142"/>
    </row>
    <row r="414" ht="15.75" customHeight="1">
      <c r="B414" s="142"/>
    </row>
    <row r="415" ht="15.75" customHeight="1">
      <c r="B415" s="142"/>
    </row>
    <row r="416" ht="15.75" customHeight="1">
      <c r="B416" s="142"/>
    </row>
    <row r="417" ht="15.75" customHeight="1">
      <c r="B417" s="142"/>
    </row>
    <row r="418" ht="15.75" customHeight="1">
      <c r="B418" s="142"/>
    </row>
    <row r="419" ht="15.75" customHeight="1">
      <c r="B419" s="142"/>
    </row>
    <row r="420" ht="15.75" customHeight="1">
      <c r="B420" s="142"/>
    </row>
    <row r="421" ht="15.75" customHeight="1">
      <c r="B421" s="142"/>
    </row>
    <row r="422" ht="15.75" customHeight="1">
      <c r="B422" s="142"/>
    </row>
    <row r="423" ht="15.75" customHeight="1">
      <c r="B423" s="142"/>
    </row>
    <row r="424" ht="15.75" customHeight="1">
      <c r="B424" s="142"/>
    </row>
    <row r="425" ht="15.75" customHeight="1">
      <c r="B425" s="142"/>
    </row>
    <row r="426" ht="15.75" customHeight="1">
      <c r="B426" s="142"/>
    </row>
    <row r="427" ht="15.75" customHeight="1">
      <c r="B427" s="142"/>
    </row>
    <row r="428" ht="15.75" customHeight="1">
      <c r="B428" s="142"/>
    </row>
    <row r="429" ht="15.75" customHeight="1">
      <c r="B429" s="142"/>
    </row>
    <row r="430" ht="15.75" customHeight="1">
      <c r="B430" s="142"/>
    </row>
    <row r="431" ht="15.75" customHeight="1">
      <c r="B431" s="142"/>
    </row>
    <row r="432" ht="15.75" customHeight="1">
      <c r="B432" s="142"/>
    </row>
    <row r="433" ht="15.75" customHeight="1">
      <c r="B433" s="142"/>
    </row>
    <row r="434" ht="15.75" customHeight="1">
      <c r="B434" s="142"/>
    </row>
    <row r="435" ht="15.75" customHeight="1">
      <c r="B435" s="142"/>
    </row>
    <row r="436" ht="15.75" customHeight="1">
      <c r="B436" s="142"/>
    </row>
    <row r="437" ht="15.75" customHeight="1">
      <c r="B437" s="142"/>
    </row>
    <row r="438" ht="15.75" customHeight="1">
      <c r="B438" s="142"/>
    </row>
    <row r="439" ht="15.75" customHeight="1">
      <c r="B439" s="142"/>
    </row>
    <row r="440" ht="15.75" customHeight="1">
      <c r="B440" s="142"/>
    </row>
    <row r="441" ht="15.75" customHeight="1">
      <c r="B441" s="142"/>
    </row>
    <row r="442" ht="15.75" customHeight="1">
      <c r="B442" s="142"/>
    </row>
    <row r="443" ht="15.75" customHeight="1">
      <c r="B443" s="142"/>
    </row>
    <row r="444" ht="15.75" customHeight="1">
      <c r="B444" s="142"/>
    </row>
    <row r="445" ht="15.75" customHeight="1">
      <c r="B445" s="142"/>
    </row>
    <row r="446" ht="15.75" customHeight="1">
      <c r="B446" s="142"/>
    </row>
    <row r="447" ht="15.75" customHeight="1">
      <c r="B447" s="142"/>
    </row>
    <row r="448" ht="15.75" customHeight="1">
      <c r="B448" s="142"/>
    </row>
    <row r="449" ht="15.75" customHeight="1">
      <c r="B449" s="142"/>
    </row>
    <row r="450" ht="15.75" customHeight="1">
      <c r="B450" s="142"/>
    </row>
    <row r="451" ht="15.75" customHeight="1">
      <c r="B451" s="142"/>
    </row>
    <row r="452" ht="15.75" customHeight="1">
      <c r="B452" s="142"/>
    </row>
    <row r="453" ht="15.75" customHeight="1">
      <c r="B453" s="142"/>
    </row>
    <row r="454" ht="15.75" customHeight="1">
      <c r="B454" s="142"/>
    </row>
    <row r="455" ht="15.75" customHeight="1">
      <c r="B455" s="142"/>
    </row>
    <row r="456" ht="15.75" customHeight="1">
      <c r="B456" s="142"/>
    </row>
    <row r="457" ht="15.75" customHeight="1">
      <c r="B457" s="142"/>
    </row>
    <row r="458" ht="15.75" customHeight="1">
      <c r="B458" s="142"/>
    </row>
    <row r="459" ht="15.75" customHeight="1">
      <c r="B459" s="142"/>
    </row>
    <row r="460" ht="15.75" customHeight="1">
      <c r="B460" s="142"/>
    </row>
    <row r="461" ht="15.75" customHeight="1">
      <c r="B461" s="142"/>
    </row>
    <row r="462" ht="15.75" customHeight="1">
      <c r="B462" s="142"/>
    </row>
    <row r="463" ht="15.75" customHeight="1">
      <c r="B463" s="142"/>
    </row>
    <row r="464" ht="15.75" customHeight="1">
      <c r="B464" s="142"/>
    </row>
    <row r="465" ht="15.75" customHeight="1">
      <c r="B465" s="142"/>
    </row>
    <row r="466" ht="15.75" customHeight="1">
      <c r="B466" s="142"/>
    </row>
    <row r="467" ht="15.75" customHeight="1">
      <c r="B467" s="142"/>
    </row>
    <row r="468" ht="15.75" customHeight="1">
      <c r="B468" s="142"/>
    </row>
    <row r="469" ht="15.75" customHeight="1">
      <c r="B469" s="142"/>
    </row>
    <row r="470" ht="15.75" customHeight="1">
      <c r="B470" s="142"/>
    </row>
    <row r="471" ht="15.75" customHeight="1">
      <c r="B471" s="142"/>
    </row>
    <row r="472" ht="15.75" customHeight="1">
      <c r="B472" s="142"/>
    </row>
    <row r="473" ht="15.75" customHeight="1">
      <c r="B473" s="142"/>
    </row>
    <row r="474" ht="15.75" customHeight="1">
      <c r="B474" s="142"/>
    </row>
    <row r="475" ht="15.75" customHeight="1">
      <c r="B475" s="142"/>
    </row>
    <row r="476" ht="15.75" customHeight="1">
      <c r="B476" s="142"/>
    </row>
    <row r="477" ht="15.75" customHeight="1">
      <c r="B477" s="142"/>
    </row>
    <row r="478" ht="15.75" customHeight="1">
      <c r="B478" s="142"/>
    </row>
    <row r="479" ht="15.75" customHeight="1">
      <c r="B479" s="142"/>
    </row>
    <row r="480" ht="15.75" customHeight="1">
      <c r="B480" s="142"/>
    </row>
    <row r="481" ht="15.75" customHeight="1">
      <c r="B481" s="142"/>
    </row>
    <row r="482" ht="15.75" customHeight="1">
      <c r="B482" s="142"/>
    </row>
    <row r="483" ht="15.75" customHeight="1">
      <c r="B483" s="142"/>
    </row>
    <row r="484" ht="15.75" customHeight="1">
      <c r="B484" s="142"/>
    </row>
    <row r="485" ht="15.75" customHeight="1">
      <c r="B485" s="142"/>
    </row>
    <row r="486" ht="15.75" customHeight="1">
      <c r="B486" s="142"/>
    </row>
    <row r="487" ht="15.75" customHeight="1">
      <c r="B487" s="142"/>
    </row>
    <row r="488" ht="15.75" customHeight="1">
      <c r="B488" s="142"/>
    </row>
    <row r="489" ht="15.75" customHeight="1">
      <c r="B489" s="142"/>
    </row>
    <row r="490" ht="15.75" customHeight="1">
      <c r="B490" s="142"/>
    </row>
    <row r="491" ht="15.75" customHeight="1">
      <c r="B491" s="142"/>
    </row>
    <row r="492" ht="15.75" customHeight="1">
      <c r="B492" s="142"/>
    </row>
    <row r="493" ht="15.75" customHeight="1">
      <c r="B493" s="142"/>
    </row>
    <row r="494" ht="15.75" customHeight="1">
      <c r="B494" s="142"/>
    </row>
    <row r="495" ht="15.75" customHeight="1">
      <c r="B495" s="142"/>
    </row>
    <row r="496" ht="15.75" customHeight="1">
      <c r="B496" s="142"/>
    </row>
    <row r="497" ht="15.75" customHeight="1">
      <c r="B497" s="142"/>
    </row>
    <row r="498" ht="15.75" customHeight="1">
      <c r="B498" s="142"/>
    </row>
    <row r="499" ht="15.75" customHeight="1">
      <c r="B499" s="142"/>
    </row>
    <row r="500" ht="15.75" customHeight="1">
      <c r="B500" s="142"/>
    </row>
    <row r="501" ht="15.75" customHeight="1">
      <c r="B501" s="142"/>
    </row>
    <row r="502" ht="15.75" customHeight="1">
      <c r="B502" s="142"/>
    </row>
    <row r="503" ht="15.75" customHeight="1">
      <c r="B503" s="142"/>
    </row>
    <row r="504" ht="15.75" customHeight="1">
      <c r="B504" s="142"/>
    </row>
    <row r="505" ht="15.75" customHeight="1">
      <c r="B505" s="142"/>
    </row>
    <row r="506" ht="15.75" customHeight="1">
      <c r="B506" s="142"/>
    </row>
    <row r="507" ht="15.75" customHeight="1">
      <c r="B507" s="142"/>
    </row>
    <row r="508" ht="15.75" customHeight="1">
      <c r="B508" s="142"/>
    </row>
    <row r="509" ht="15.75" customHeight="1">
      <c r="B509" s="142"/>
    </row>
    <row r="510" ht="15.75" customHeight="1">
      <c r="B510" s="142"/>
    </row>
    <row r="511" ht="15.75" customHeight="1">
      <c r="B511" s="142"/>
    </row>
    <row r="512" ht="15.75" customHeight="1">
      <c r="B512" s="142"/>
    </row>
    <row r="513" ht="15.75" customHeight="1">
      <c r="B513" s="142"/>
    </row>
    <row r="514" ht="15.75" customHeight="1">
      <c r="B514" s="142"/>
    </row>
    <row r="515" ht="15.75" customHeight="1">
      <c r="B515" s="142"/>
    </row>
    <row r="516" ht="15.75" customHeight="1">
      <c r="B516" s="142"/>
    </row>
    <row r="517" ht="15.75" customHeight="1">
      <c r="B517" s="142"/>
    </row>
    <row r="518" ht="15.75" customHeight="1">
      <c r="B518" s="142"/>
    </row>
    <row r="519" ht="15.75" customHeight="1">
      <c r="B519" s="142"/>
    </row>
    <row r="520" ht="15.75" customHeight="1">
      <c r="B520" s="142"/>
    </row>
    <row r="521" ht="15.75" customHeight="1">
      <c r="B521" s="142"/>
    </row>
    <row r="522" ht="15.75" customHeight="1">
      <c r="B522" s="142"/>
    </row>
    <row r="523" ht="15.75" customHeight="1">
      <c r="B523" s="142"/>
    </row>
    <row r="524" ht="15.75" customHeight="1">
      <c r="B524" s="142"/>
    </row>
    <row r="525" ht="15.75" customHeight="1">
      <c r="B525" s="142"/>
    </row>
    <row r="526" ht="15.75" customHeight="1">
      <c r="B526" s="142"/>
    </row>
    <row r="527" ht="15.75" customHeight="1">
      <c r="B527" s="142"/>
    </row>
    <row r="528" ht="15.75" customHeight="1">
      <c r="B528" s="142"/>
    </row>
    <row r="529" ht="15.75" customHeight="1">
      <c r="B529" s="142"/>
    </row>
    <row r="530" ht="15.75" customHeight="1">
      <c r="B530" s="142"/>
    </row>
    <row r="531" ht="15.75" customHeight="1">
      <c r="B531" s="142"/>
    </row>
    <row r="532" ht="15.75" customHeight="1">
      <c r="B532" s="142"/>
    </row>
    <row r="533" ht="15.75" customHeight="1">
      <c r="B533" s="142"/>
    </row>
    <row r="534" ht="15.75" customHeight="1">
      <c r="B534" s="142"/>
    </row>
    <row r="535" ht="15.75" customHeight="1">
      <c r="B535" s="142"/>
    </row>
    <row r="536" ht="15.75" customHeight="1">
      <c r="B536" s="142"/>
    </row>
    <row r="537" ht="15.75" customHeight="1">
      <c r="B537" s="142"/>
    </row>
    <row r="538" ht="15.75" customHeight="1">
      <c r="B538" s="142"/>
    </row>
    <row r="539" ht="15.75" customHeight="1">
      <c r="B539" s="142"/>
    </row>
    <row r="540" ht="15.75" customHeight="1">
      <c r="B540" s="142"/>
    </row>
    <row r="541" ht="15.75" customHeight="1">
      <c r="B541" s="142"/>
    </row>
    <row r="542" ht="15.75" customHeight="1">
      <c r="B542" s="142"/>
    </row>
    <row r="543" ht="15.75" customHeight="1">
      <c r="B543" s="142"/>
    </row>
    <row r="544" ht="15.75" customHeight="1">
      <c r="B544" s="142"/>
    </row>
    <row r="545" ht="15.75" customHeight="1">
      <c r="B545" s="142"/>
    </row>
    <row r="546" ht="15.75" customHeight="1">
      <c r="B546" s="142"/>
    </row>
    <row r="547" ht="15.75" customHeight="1">
      <c r="B547" s="142"/>
    </row>
    <row r="548" ht="15.75" customHeight="1">
      <c r="B548" s="142"/>
    </row>
    <row r="549" ht="15.75" customHeight="1">
      <c r="B549" s="142"/>
    </row>
    <row r="550" ht="15.75" customHeight="1">
      <c r="B550" s="142"/>
    </row>
    <row r="551" ht="15.75" customHeight="1">
      <c r="B551" s="142"/>
    </row>
    <row r="552" ht="15.75" customHeight="1">
      <c r="B552" s="142"/>
    </row>
    <row r="553" ht="15.75" customHeight="1">
      <c r="B553" s="142"/>
    </row>
    <row r="554" ht="15.75" customHeight="1">
      <c r="B554" s="142"/>
    </row>
    <row r="555" ht="15.75" customHeight="1">
      <c r="B555" s="142"/>
    </row>
    <row r="556" ht="15.75" customHeight="1">
      <c r="B556" s="142"/>
    </row>
    <row r="557" ht="15.75" customHeight="1">
      <c r="B557" s="142"/>
    </row>
    <row r="558" ht="15.75" customHeight="1">
      <c r="B558" s="142"/>
    </row>
    <row r="559" ht="15.75" customHeight="1">
      <c r="B559" s="142"/>
    </row>
    <row r="560" ht="15.75" customHeight="1">
      <c r="B560" s="142"/>
    </row>
    <row r="561" ht="15.75" customHeight="1">
      <c r="B561" s="142"/>
    </row>
    <row r="562" ht="15.75" customHeight="1">
      <c r="B562" s="142"/>
    </row>
    <row r="563" ht="15.75" customHeight="1">
      <c r="B563" s="142"/>
    </row>
    <row r="564" ht="15.75" customHeight="1">
      <c r="B564" s="142"/>
    </row>
    <row r="565" ht="15.75" customHeight="1">
      <c r="B565" s="142"/>
    </row>
    <row r="566" ht="15.75" customHeight="1">
      <c r="B566" s="142"/>
    </row>
    <row r="567" ht="15.75" customHeight="1">
      <c r="B567" s="142"/>
    </row>
    <row r="568" ht="15.75" customHeight="1">
      <c r="B568" s="142"/>
    </row>
    <row r="569" ht="15.75" customHeight="1">
      <c r="B569" s="142"/>
    </row>
    <row r="570" ht="15.75" customHeight="1">
      <c r="B570" s="142"/>
    </row>
    <row r="571" ht="15.75" customHeight="1">
      <c r="B571" s="142"/>
    </row>
    <row r="572" ht="15.75" customHeight="1">
      <c r="B572" s="142"/>
    </row>
    <row r="573" ht="15.75" customHeight="1">
      <c r="B573" s="142"/>
    </row>
    <row r="574" ht="15.75" customHeight="1">
      <c r="B574" s="142"/>
    </row>
    <row r="575" ht="15.75" customHeight="1">
      <c r="B575" s="142"/>
    </row>
    <row r="576" ht="15.75" customHeight="1">
      <c r="B576" s="142"/>
    </row>
    <row r="577" ht="15.75" customHeight="1">
      <c r="B577" s="142"/>
    </row>
    <row r="578" ht="15.75" customHeight="1">
      <c r="B578" s="142"/>
    </row>
    <row r="579" ht="15.75" customHeight="1">
      <c r="B579" s="142"/>
    </row>
    <row r="580" ht="15.75" customHeight="1">
      <c r="B580" s="142"/>
    </row>
    <row r="581" ht="15.75" customHeight="1">
      <c r="B581" s="142"/>
    </row>
    <row r="582" ht="15.75" customHeight="1">
      <c r="B582" s="142"/>
    </row>
    <row r="583" ht="15.75" customHeight="1">
      <c r="B583" s="142"/>
    </row>
    <row r="584" ht="15.75" customHeight="1">
      <c r="B584" s="142"/>
    </row>
    <row r="585" ht="15.75" customHeight="1">
      <c r="B585" s="142"/>
    </row>
    <row r="586" ht="15.75" customHeight="1">
      <c r="B586" s="142"/>
    </row>
    <row r="587" ht="15.75" customHeight="1">
      <c r="B587" s="142"/>
    </row>
    <row r="588" ht="15.75" customHeight="1">
      <c r="B588" s="142"/>
    </row>
    <row r="589" ht="15.75" customHeight="1">
      <c r="B589" s="142"/>
    </row>
    <row r="590" ht="15.75" customHeight="1">
      <c r="B590" s="142"/>
    </row>
    <row r="591" ht="15.75" customHeight="1">
      <c r="B591" s="142"/>
    </row>
    <row r="592" ht="15.75" customHeight="1">
      <c r="B592" s="142"/>
    </row>
    <row r="593" ht="15.75" customHeight="1">
      <c r="B593" s="142"/>
    </row>
    <row r="594" ht="15.75" customHeight="1">
      <c r="B594" s="142"/>
    </row>
    <row r="595" ht="15.75" customHeight="1">
      <c r="B595" s="142"/>
    </row>
    <row r="596" ht="15.75" customHeight="1">
      <c r="B596" s="142"/>
    </row>
    <row r="597" ht="15.75" customHeight="1">
      <c r="B597" s="142"/>
    </row>
    <row r="598" ht="15.75" customHeight="1">
      <c r="B598" s="142"/>
    </row>
    <row r="599" ht="15.75" customHeight="1">
      <c r="B599" s="142"/>
    </row>
    <row r="600" ht="15.75" customHeight="1">
      <c r="B600" s="142"/>
    </row>
    <row r="601" ht="15.75" customHeight="1">
      <c r="B601" s="142"/>
    </row>
    <row r="602" ht="15.75" customHeight="1">
      <c r="B602" s="142"/>
    </row>
    <row r="603" ht="15.75" customHeight="1">
      <c r="B603" s="142"/>
    </row>
    <row r="604" ht="15.75" customHeight="1">
      <c r="B604" s="142"/>
    </row>
    <row r="605" ht="15.75" customHeight="1">
      <c r="B605" s="142"/>
    </row>
    <row r="606" ht="15.75" customHeight="1">
      <c r="B606" s="142"/>
    </row>
    <row r="607" ht="15.75" customHeight="1">
      <c r="B607" s="142"/>
    </row>
    <row r="608" ht="15.75" customHeight="1">
      <c r="B608" s="142"/>
    </row>
    <row r="609" ht="15.75" customHeight="1">
      <c r="B609" s="142"/>
    </row>
    <row r="610" ht="15.75" customHeight="1">
      <c r="B610" s="142"/>
    </row>
    <row r="611" ht="15.75" customHeight="1">
      <c r="B611" s="142"/>
    </row>
    <row r="612" ht="15.75" customHeight="1">
      <c r="B612" s="142"/>
    </row>
    <row r="613" ht="15.75" customHeight="1">
      <c r="B613" s="142"/>
    </row>
    <row r="614" ht="15.75" customHeight="1">
      <c r="B614" s="142"/>
    </row>
    <row r="615" ht="15.75" customHeight="1">
      <c r="B615" s="142"/>
    </row>
    <row r="616" ht="15.75" customHeight="1">
      <c r="B616" s="142"/>
    </row>
    <row r="617" ht="15.75" customHeight="1">
      <c r="B617" s="142"/>
    </row>
    <row r="618" ht="15.75" customHeight="1">
      <c r="B618" s="142"/>
    </row>
    <row r="619" ht="15.75" customHeight="1">
      <c r="B619" s="142"/>
    </row>
    <row r="620" ht="15.75" customHeight="1">
      <c r="B620" s="142"/>
    </row>
    <row r="621" ht="15.75" customHeight="1">
      <c r="B621" s="142"/>
    </row>
    <row r="622" ht="15.75" customHeight="1">
      <c r="B622" s="142"/>
    </row>
    <row r="623" ht="15.75" customHeight="1">
      <c r="B623" s="142"/>
    </row>
    <row r="624" ht="15.75" customHeight="1">
      <c r="B624" s="142"/>
    </row>
    <row r="625" ht="15.75" customHeight="1">
      <c r="B625" s="142"/>
    </row>
    <row r="626" ht="15.75" customHeight="1">
      <c r="B626" s="142"/>
    </row>
    <row r="627" ht="15.75" customHeight="1">
      <c r="B627" s="142"/>
    </row>
    <row r="628" ht="15.75" customHeight="1">
      <c r="B628" s="142"/>
    </row>
    <row r="629" ht="15.75" customHeight="1">
      <c r="B629" s="142"/>
    </row>
    <row r="630" ht="15.75" customHeight="1">
      <c r="B630" s="142"/>
    </row>
    <row r="631" ht="15.75" customHeight="1">
      <c r="B631" s="142"/>
    </row>
    <row r="632" ht="15.75" customHeight="1">
      <c r="B632" s="142"/>
    </row>
    <row r="633" ht="15.75" customHeight="1">
      <c r="B633" s="142"/>
    </row>
    <row r="634" ht="15.75" customHeight="1">
      <c r="B634" s="142"/>
    </row>
    <row r="635" ht="15.75" customHeight="1">
      <c r="B635" s="142"/>
    </row>
    <row r="636" ht="15.75" customHeight="1">
      <c r="B636" s="142"/>
    </row>
    <row r="637" ht="15.75" customHeight="1">
      <c r="B637" s="142"/>
    </row>
    <row r="638" ht="15.75" customHeight="1">
      <c r="B638" s="142"/>
    </row>
    <row r="639" ht="15.75" customHeight="1">
      <c r="B639" s="142"/>
    </row>
    <row r="640" ht="15.75" customHeight="1">
      <c r="B640" s="142"/>
    </row>
    <row r="641" ht="15.75" customHeight="1">
      <c r="B641" s="142"/>
    </row>
    <row r="642" ht="15.75" customHeight="1">
      <c r="B642" s="142"/>
    </row>
    <row r="643" ht="15.75" customHeight="1">
      <c r="B643" s="142"/>
    </row>
    <row r="644" ht="15.75" customHeight="1">
      <c r="B644" s="142"/>
    </row>
    <row r="645" ht="15.75" customHeight="1">
      <c r="B645" s="142"/>
    </row>
    <row r="646" ht="15.75" customHeight="1">
      <c r="B646" s="142"/>
    </row>
    <row r="647" ht="15.75" customHeight="1">
      <c r="B647" s="142"/>
    </row>
    <row r="648" ht="15.75" customHeight="1">
      <c r="B648" s="142"/>
    </row>
    <row r="649" ht="15.75" customHeight="1">
      <c r="B649" s="142"/>
    </row>
    <row r="650" ht="15.75" customHeight="1">
      <c r="B650" s="142"/>
    </row>
    <row r="651" ht="15.75" customHeight="1">
      <c r="B651" s="142"/>
    </row>
    <row r="652" ht="15.75" customHeight="1">
      <c r="B652" s="142"/>
    </row>
    <row r="653" ht="15.75" customHeight="1">
      <c r="B653" s="142"/>
    </row>
    <row r="654" ht="15.75" customHeight="1">
      <c r="B654" s="142"/>
    </row>
    <row r="655" ht="15.75" customHeight="1">
      <c r="B655" s="142"/>
    </row>
    <row r="656" ht="15.75" customHeight="1">
      <c r="B656" s="142"/>
    </row>
    <row r="657" ht="15.75" customHeight="1">
      <c r="B657" s="142"/>
    </row>
    <row r="658" ht="15.75" customHeight="1">
      <c r="B658" s="142"/>
    </row>
    <row r="659" ht="15.75" customHeight="1">
      <c r="B659" s="142"/>
    </row>
    <row r="660" ht="15.75" customHeight="1">
      <c r="B660" s="142"/>
    </row>
    <row r="661" ht="15.75" customHeight="1">
      <c r="B661" s="142"/>
    </row>
    <row r="662" ht="15.75" customHeight="1">
      <c r="B662" s="142"/>
    </row>
    <row r="663" ht="15.75" customHeight="1">
      <c r="B663" s="142"/>
    </row>
    <row r="664" ht="15.75" customHeight="1">
      <c r="B664" s="142"/>
    </row>
    <row r="665" ht="15.75" customHeight="1">
      <c r="B665" s="142"/>
    </row>
    <row r="666" ht="15.75" customHeight="1">
      <c r="B666" s="142"/>
    </row>
    <row r="667" ht="15.75" customHeight="1">
      <c r="B667" s="142"/>
    </row>
    <row r="668" ht="15.75" customHeight="1">
      <c r="B668" s="142"/>
    </row>
    <row r="669" ht="15.75" customHeight="1">
      <c r="B669" s="142"/>
    </row>
    <row r="670" ht="15.75" customHeight="1">
      <c r="B670" s="142"/>
    </row>
    <row r="671" ht="15.75" customHeight="1">
      <c r="B671" s="142"/>
    </row>
    <row r="672" ht="15.75" customHeight="1">
      <c r="B672" s="142"/>
    </row>
    <row r="673" ht="15.75" customHeight="1">
      <c r="B673" s="142"/>
    </row>
    <row r="674" ht="15.75" customHeight="1">
      <c r="B674" s="142"/>
    </row>
    <row r="675" ht="15.75" customHeight="1">
      <c r="B675" s="142"/>
    </row>
    <row r="676" ht="15.75" customHeight="1">
      <c r="B676" s="142"/>
    </row>
    <row r="677" ht="15.75" customHeight="1">
      <c r="B677" s="142"/>
    </row>
    <row r="678" ht="15.75" customHeight="1">
      <c r="B678" s="142"/>
    </row>
    <row r="679" ht="15.75" customHeight="1">
      <c r="B679" s="142"/>
    </row>
    <row r="680" ht="15.75" customHeight="1">
      <c r="B680" s="142"/>
    </row>
    <row r="681" ht="15.75" customHeight="1">
      <c r="B681" s="142"/>
    </row>
    <row r="682" ht="15.75" customHeight="1">
      <c r="B682" s="142"/>
    </row>
    <row r="683" ht="15.75" customHeight="1">
      <c r="B683" s="142"/>
    </row>
    <row r="684" ht="15.75" customHeight="1">
      <c r="B684" s="142"/>
    </row>
    <row r="685" ht="15.75" customHeight="1">
      <c r="B685" s="142"/>
    </row>
    <row r="686" ht="15.75" customHeight="1">
      <c r="B686" s="142"/>
    </row>
    <row r="687" ht="15.75" customHeight="1">
      <c r="B687" s="142"/>
    </row>
    <row r="688" ht="15.75" customHeight="1">
      <c r="B688" s="142"/>
    </row>
    <row r="689" ht="15.75" customHeight="1">
      <c r="B689" s="142"/>
    </row>
    <row r="690" ht="15.75" customHeight="1">
      <c r="B690" s="142"/>
    </row>
    <row r="691" ht="15.75" customHeight="1">
      <c r="B691" s="142"/>
    </row>
    <row r="692" ht="15.75" customHeight="1">
      <c r="B692" s="142"/>
    </row>
    <row r="693" ht="15.75" customHeight="1">
      <c r="B693" s="142"/>
    </row>
    <row r="694" ht="15.75" customHeight="1">
      <c r="B694" s="142"/>
    </row>
    <row r="695" ht="15.75" customHeight="1">
      <c r="B695" s="142"/>
    </row>
    <row r="696" ht="15.75" customHeight="1">
      <c r="B696" s="142"/>
    </row>
    <row r="697" ht="15.75" customHeight="1">
      <c r="B697" s="142"/>
    </row>
    <row r="698" ht="15.75" customHeight="1">
      <c r="B698" s="142"/>
    </row>
    <row r="699" ht="15.75" customHeight="1">
      <c r="B699" s="142"/>
    </row>
    <row r="700" ht="15.75" customHeight="1">
      <c r="B700" s="142"/>
    </row>
    <row r="701" ht="15.75" customHeight="1">
      <c r="B701" s="142"/>
    </row>
    <row r="702" ht="15.75" customHeight="1">
      <c r="B702" s="142"/>
    </row>
    <row r="703" ht="15.75" customHeight="1">
      <c r="B703" s="142"/>
    </row>
    <row r="704" ht="15.75" customHeight="1">
      <c r="B704" s="142"/>
    </row>
    <row r="705" ht="15.75" customHeight="1">
      <c r="B705" s="142"/>
    </row>
    <row r="706" ht="15.75" customHeight="1">
      <c r="B706" s="142"/>
    </row>
    <row r="707" ht="15.75" customHeight="1">
      <c r="B707" s="142"/>
    </row>
    <row r="708" ht="15.75" customHeight="1">
      <c r="B708" s="142"/>
    </row>
    <row r="709" ht="15.75" customHeight="1">
      <c r="B709" s="142"/>
    </row>
    <row r="710" ht="15.75" customHeight="1">
      <c r="B710" s="142"/>
    </row>
    <row r="711" ht="15.75" customHeight="1">
      <c r="B711" s="142"/>
    </row>
    <row r="712" ht="15.75" customHeight="1">
      <c r="B712" s="142"/>
    </row>
    <row r="713" ht="15.75" customHeight="1">
      <c r="B713" s="142"/>
    </row>
    <row r="714" ht="15.75" customHeight="1">
      <c r="B714" s="142"/>
    </row>
    <row r="715" ht="15.75" customHeight="1">
      <c r="B715" s="142"/>
    </row>
    <row r="716" ht="15.75" customHeight="1">
      <c r="B716" s="142"/>
    </row>
    <row r="717" ht="15.75" customHeight="1">
      <c r="B717" s="142"/>
    </row>
    <row r="718" ht="15.75" customHeight="1">
      <c r="B718" s="142"/>
    </row>
    <row r="719" ht="15.75" customHeight="1">
      <c r="B719" s="142"/>
    </row>
    <row r="720" ht="15.75" customHeight="1">
      <c r="B720" s="142"/>
    </row>
    <row r="721" ht="15.75" customHeight="1">
      <c r="B721" s="142"/>
    </row>
    <row r="722" ht="15.75" customHeight="1">
      <c r="B722" s="142"/>
    </row>
    <row r="723" ht="15.75" customHeight="1">
      <c r="B723" s="142"/>
    </row>
    <row r="724" ht="15.75" customHeight="1">
      <c r="B724" s="142"/>
    </row>
    <row r="725" ht="15.75" customHeight="1">
      <c r="B725" s="142"/>
    </row>
    <row r="726" ht="15.75" customHeight="1">
      <c r="B726" s="142"/>
    </row>
    <row r="727" ht="15.75" customHeight="1">
      <c r="B727" s="142"/>
    </row>
    <row r="728" ht="15.75" customHeight="1">
      <c r="B728" s="142"/>
    </row>
    <row r="729" ht="15.75" customHeight="1">
      <c r="B729" s="142"/>
    </row>
    <row r="730" ht="15.75" customHeight="1">
      <c r="B730" s="142"/>
    </row>
    <row r="731" ht="15.75" customHeight="1">
      <c r="B731" s="142"/>
    </row>
    <row r="732" ht="15.75" customHeight="1">
      <c r="B732" s="142"/>
    </row>
    <row r="733" ht="15.75" customHeight="1">
      <c r="B733" s="142"/>
    </row>
    <row r="734" ht="15.75" customHeight="1">
      <c r="B734" s="142"/>
    </row>
    <row r="735" ht="15.75" customHeight="1">
      <c r="B735" s="142"/>
    </row>
    <row r="736" ht="15.75" customHeight="1">
      <c r="B736" s="142"/>
    </row>
    <row r="737" ht="15.75" customHeight="1">
      <c r="B737" s="142"/>
    </row>
    <row r="738" ht="15.75" customHeight="1">
      <c r="B738" s="142"/>
    </row>
    <row r="739" ht="15.75" customHeight="1">
      <c r="B739" s="142"/>
    </row>
    <row r="740" ht="15.75" customHeight="1">
      <c r="B740" s="142"/>
    </row>
    <row r="741" ht="15.75" customHeight="1">
      <c r="B741" s="142"/>
    </row>
    <row r="742" ht="15.75" customHeight="1">
      <c r="B742" s="142"/>
    </row>
    <row r="743" ht="15.75" customHeight="1">
      <c r="B743" s="142"/>
    </row>
    <row r="744" ht="15.75" customHeight="1">
      <c r="B744" s="142"/>
    </row>
    <row r="745" ht="15.75" customHeight="1">
      <c r="B745" s="142"/>
    </row>
    <row r="746" ht="15.75" customHeight="1">
      <c r="B746" s="142"/>
    </row>
    <row r="747" ht="15.75" customHeight="1">
      <c r="B747" s="142"/>
    </row>
    <row r="748" ht="15.75" customHeight="1">
      <c r="B748" s="142"/>
    </row>
    <row r="749" ht="15.75" customHeight="1">
      <c r="B749" s="142"/>
    </row>
    <row r="750" ht="15.75" customHeight="1">
      <c r="B750" s="142"/>
    </row>
    <row r="751" ht="15.75" customHeight="1">
      <c r="B751" s="142"/>
    </row>
    <row r="752" ht="15.75" customHeight="1">
      <c r="B752" s="142"/>
    </row>
    <row r="753" ht="15.75" customHeight="1">
      <c r="B753" s="142"/>
    </row>
    <row r="754" ht="15.75" customHeight="1">
      <c r="B754" s="142"/>
    </row>
    <row r="755" ht="15.75" customHeight="1">
      <c r="B755" s="142"/>
    </row>
    <row r="756" ht="15.75" customHeight="1">
      <c r="B756" s="142"/>
    </row>
    <row r="757" ht="15.75" customHeight="1">
      <c r="B757" s="142"/>
    </row>
    <row r="758" ht="15.75" customHeight="1">
      <c r="B758" s="142"/>
    </row>
    <row r="759" ht="15.75" customHeight="1">
      <c r="B759" s="142"/>
    </row>
    <row r="760" ht="15.75" customHeight="1">
      <c r="B760" s="142"/>
    </row>
    <row r="761" ht="15.75" customHeight="1">
      <c r="B761" s="142"/>
    </row>
    <row r="762" ht="15.75" customHeight="1">
      <c r="B762" s="142"/>
    </row>
    <row r="763" ht="15.75" customHeight="1">
      <c r="B763" s="142"/>
    </row>
    <row r="764" ht="15.75" customHeight="1">
      <c r="B764" s="142"/>
    </row>
    <row r="765" ht="15.75" customHeight="1">
      <c r="B765" s="142"/>
    </row>
    <row r="766" ht="15.75" customHeight="1">
      <c r="B766" s="142"/>
    </row>
    <row r="767" ht="15.75" customHeight="1">
      <c r="B767" s="142"/>
    </row>
    <row r="768" ht="15.75" customHeight="1">
      <c r="B768" s="142"/>
    </row>
    <row r="769" ht="15.75" customHeight="1">
      <c r="B769" s="142"/>
    </row>
    <row r="770" ht="15.75" customHeight="1">
      <c r="B770" s="142"/>
    </row>
    <row r="771" ht="15.75" customHeight="1">
      <c r="B771" s="142"/>
    </row>
    <row r="772" ht="15.75" customHeight="1">
      <c r="B772" s="142"/>
    </row>
    <row r="773" ht="15.75" customHeight="1">
      <c r="B773" s="142"/>
    </row>
    <row r="774" ht="15.75" customHeight="1">
      <c r="B774" s="142"/>
    </row>
    <row r="775" ht="15.75" customHeight="1">
      <c r="B775" s="142"/>
    </row>
    <row r="776" ht="15.75" customHeight="1">
      <c r="B776" s="142"/>
    </row>
    <row r="777" ht="15.75" customHeight="1">
      <c r="B777" s="142"/>
    </row>
    <row r="778" ht="15.75" customHeight="1">
      <c r="B778" s="142"/>
    </row>
    <row r="779" ht="15.75" customHeight="1">
      <c r="B779" s="142"/>
    </row>
    <row r="780" ht="15.75" customHeight="1">
      <c r="B780" s="142"/>
    </row>
    <row r="781" ht="15.75" customHeight="1">
      <c r="B781" s="142"/>
    </row>
    <row r="782" ht="15.75" customHeight="1">
      <c r="B782" s="142"/>
    </row>
    <row r="783" ht="15.75" customHeight="1">
      <c r="B783" s="142"/>
    </row>
    <row r="784" ht="15.75" customHeight="1">
      <c r="B784" s="142"/>
    </row>
    <row r="785" ht="15.75" customHeight="1">
      <c r="B785" s="142"/>
    </row>
    <row r="786" ht="15.75" customHeight="1">
      <c r="B786" s="142"/>
    </row>
    <row r="787" ht="15.75" customHeight="1">
      <c r="B787" s="142"/>
    </row>
    <row r="788" ht="15.75" customHeight="1">
      <c r="B788" s="142"/>
    </row>
    <row r="789" ht="15.75" customHeight="1">
      <c r="B789" s="142"/>
    </row>
    <row r="790" ht="15.75" customHeight="1">
      <c r="B790" s="142"/>
    </row>
    <row r="791" ht="15.75" customHeight="1">
      <c r="B791" s="142"/>
    </row>
    <row r="792" ht="15.75" customHeight="1">
      <c r="B792" s="142"/>
    </row>
    <row r="793" ht="15.75" customHeight="1">
      <c r="B793" s="142"/>
    </row>
    <row r="794" ht="15.75" customHeight="1">
      <c r="B794" s="142"/>
    </row>
    <row r="795" ht="15.75" customHeight="1">
      <c r="B795" s="142"/>
    </row>
    <row r="796" ht="15.75" customHeight="1">
      <c r="B796" s="142"/>
    </row>
    <row r="797" ht="15.75" customHeight="1">
      <c r="B797" s="142"/>
    </row>
    <row r="798" ht="15.75" customHeight="1">
      <c r="B798" s="142"/>
    </row>
    <row r="799" ht="15.75" customHeight="1">
      <c r="B799" s="142"/>
    </row>
    <row r="800" ht="15.75" customHeight="1">
      <c r="B800" s="142"/>
    </row>
    <row r="801" ht="15.75" customHeight="1">
      <c r="B801" s="142"/>
    </row>
    <row r="802" ht="15.75" customHeight="1">
      <c r="B802" s="142"/>
    </row>
    <row r="803" ht="15.75" customHeight="1">
      <c r="B803" s="142"/>
    </row>
    <row r="804" ht="15.75" customHeight="1">
      <c r="B804" s="142"/>
    </row>
    <row r="805" ht="15.75" customHeight="1">
      <c r="B805" s="142"/>
    </row>
    <row r="806" ht="15.75" customHeight="1">
      <c r="B806" s="142"/>
    </row>
    <row r="807" ht="15.75" customHeight="1">
      <c r="B807" s="142"/>
    </row>
    <row r="808" ht="15.75" customHeight="1">
      <c r="B808" s="142"/>
    </row>
    <row r="809" ht="15.75" customHeight="1">
      <c r="B809" s="142"/>
    </row>
    <row r="810" ht="15.75" customHeight="1">
      <c r="B810" s="142"/>
    </row>
    <row r="811" ht="15.75" customHeight="1">
      <c r="B811" s="142"/>
    </row>
    <row r="812" ht="15.75" customHeight="1">
      <c r="B812" s="142"/>
    </row>
    <row r="813" ht="15.75" customHeight="1">
      <c r="B813" s="142"/>
    </row>
    <row r="814" ht="15.75" customHeight="1">
      <c r="B814" s="142"/>
    </row>
    <row r="815" ht="15.75" customHeight="1">
      <c r="B815" s="142"/>
    </row>
    <row r="816" ht="15.75" customHeight="1">
      <c r="B816" s="142"/>
    </row>
    <row r="817" ht="15.75" customHeight="1">
      <c r="B817" s="142"/>
    </row>
    <row r="818" ht="15.75" customHeight="1">
      <c r="B818" s="142"/>
    </row>
    <row r="819" ht="15.75" customHeight="1">
      <c r="B819" s="142"/>
    </row>
    <row r="820" ht="15.75" customHeight="1">
      <c r="B820" s="142"/>
    </row>
    <row r="821" ht="15.75" customHeight="1">
      <c r="B821" s="142"/>
    </row>
    <row r="822" ht="15.75" customHeight="1">
      <c r="B822" s="142"/>
    </row>
    <row r="823" ht="15.75" customHeight="1">
      <c r="B823" s="142"/>
    </row>
    <row r="824" ht="15.75" customHeight="1">
      <c r="B824" s="142"/>
    </row>
    <row r="825" ht="15.75" customHeight="1">
      <c r="B825" s="142"/>
    </row>
    <row r="826" ht="15.75" customHeight="1">
      <c r="B826" s="142"/>
    </row>
    <row r="827" ht="15.75" customHeight="1">
      <c r="B827" s="142"/>
    </row>
    <row r="828" ht="15.75" customHeight="1">
      <c r="B828" s="142"/>
    </row>
    <row r="829" ht="15.75" customHeight="1">
      <c r="B829" s="142"/>
    </row>
    <row r="830" ht="15.75" customHeight="1">
      <c r="B830" s="142"/>
    </row>
    <row r="831" ht="15.75" customHeight="1">
      <c r="B831" s="142"/>
    </row>
    <row r="832" ht="15.75" customHeight="1">
      <c r="B832" s="142"/>
    </row>
    <row r="833" ht="15.75" customHeight="1">
      <c r="B833" s="142"/>
    </row>
    <row r="834" ht="15.75" customHeight="1">
      <c r="B834" s="142"/>
    </row>
    <row r="835" ht="15.75" customHeight="1">
      <c r="B835" s="142"/>
    </row>
    <row r="836" ht="15.75" customHeight="1">
      <c r="B836" s="142"/>
    </row>
    <row r="837" ht="15.75" customHeight="1">
      <c r="B837" s="142"/>
    </row>
    <row r="838" ht="15.75" customHeight="1">
      <c r="B838" s="142"/>
    </row>
    <row r="839" ht="15.75" customHeight="1">
      <c r="B839" s="142"/>
    </row>
    <row r="840" ht="15.75" customHeight="1">
      <c r="B840" s="142"/>
    </row>
    <row r="841" ht="15.75" customHeight="1">
      <c r="B841" s="142"/>
    </row>
    <row r="842" ht="15.75" customHeight="1">
      <c r="B842" s="142"/>
    </row>
    <row r="843" ht="15.75" customHeight="1">
      <c r="B843" s="142"/>
    </row>
    <row r="844" ht="15.75" customHeight="1">
      <c r="B844" s="142"/>
    </row>
    <row r="845" ht="15.75" customHeight="1">
      <c r="B845" s="142"/>
    </row>
    <row r="846" ht="15.75" customHeight="1">
      <c r="B846" s="142"/>
    </row>
    <row r="847" ht="15.75" customHeight="1">
      <c r="B847" s="142"/>
    </row>
    <row r="848" ht="15.75" customHeight="1">
      <c r="B848" s="142"/>
    </row>
    <row r="849" ht="15.75" customHeight="1">
      <c r="B849" s="142"/>
    </row>
    <row r="850" ht="15.75" customHeight="1">
      <c r="B850" s="142"/>
    </row>
    <row r="851" ht="15.75" customHeight="1">
      <c r="B851" s="142"/>
    </row>
    <row r="852" ht="15.75" customHeight="1">
      <c r="B852" s="142"/>
    </row>
    <row r="853" ht="15.75" customHeight="1">
      <c r="B853" s="142"/>
    </row>
    <row r="854" ht="15.75" customHeight="1">
      <c r="B854" s="142"/>
    </row>
    <row r="855" ht="15.75" customHeight="1">
      <c r="B855" s="142"/>
    </row>
    <row r="856" ht="15.75" customHeight="1">
      <c r="B856" s="142"/>
    </row>
    <row r="857" ht="15.75" customHeight="1">
      <c r="B857" s="142"/>
    </row>
    <row r="858" ht="15.75" customHeight="1">
      <c r="B858" s="142"/>
    </row>
    <row r="859" ht="15.75" customHeight="1">
      <c r="B859" s="142"/>
    </row>
    <row r="860" ht="15.75" customHeight="1">
      <c r="B860" s="142"/>
    </row>
    <row r="861" ht="15.75" customHeight="1">
      <c r="B861" s="142"/>
    </row>
    <row r="862" ht="15.75" customHeight="1">
      <c r="B862" s="142"/>
    </row>
    <row r="863" ht="15.75" customHeight="1">
      <c r="B863" s="142"/>
    </row>
    <row r="864" ht="15.75" customHeight="1">
      <c r="B864" s="142"/>
    </row>
    <row r="865" ht="15.75" customHeight="1">
      <c r="B865" s="142"/>
    </row>
    <row r="866" ht="15.75" customHeight="1">
      <c r="B866" s="142"/>
    </row>
    <row r="867" ht="15.75" customHeight="1">
      <c r="B867" s="142"/>
    </row>
    <row r="868" ht="15.75" customHeight="1">
      <c r="B868" s="142"/>
    </row>
    <row r="869" ht="15.75" customHeight="1">
      <c r="B869" s="142"/>
    </row>
    <row r="870" ht="15.75" customHeight="1">
      <c r="B870" s="142"/>
    </row>
    <row r="871" ht="15.75" customHeight="1">
      <c r="B871" s="142"/>
    </row>
    <row r="872" ht="15.75" customHeight="1">
      <c r="B872" s="142"/>
    </row>
    <row r="873" ht="15.75" customHeight="1">
      <c r="B873" s="142"/>
    </row>
    <row r="874" ht="15.75" customHeight="1">
      <c r="B874" s="142"/>
    </row>
    <row r="875" ht="15.75" customHeight="1">
      <c r="B875" s="142"/>
    </row>
    <row r="876" ht="15.75" customHeight="1">
      <c r="B876" s="142"/>
    </row>
    <row r="877" ht="15.75" customHeight="1">
      <c r="B877" s="142"/>
    </row>
    <row r="878" ht="15.75" customHeight="1">
      <c r="B878" s="142"/>
    </row>
    <row r="879" ht="15.75" customHeight="1">
      <c r="B879" s="142"/>
    </row>
    <row r="880" ht="15.75" customHeight="1">
      <c r="B880" s="142"/>
    </row>
    <row r="881" ht="15.75" customHeight="1">
      <c r="B881" s="142"/>
    </row>
    <row r="882" ht="15.75" customHeight="1">
      <c r="B882" s="142"/>
    </row>
    <row r="883" ht="15.75" customHeight="1">
      <c r="B883" s="142"/>
    </row>
    <row r="884" ht="15.75" customHeight="1">
      <c r="B884" s="142"/>
    </row>
    <row r="885" ht="15.75" customHeight="1">
      <c r="B885" s="142"/>
    </row>
    <row r="886" ht="15.75" customHeight="1">
      <c r="B886" s="142"/>
    </row>
    <row r="887" ht="15.75" customHeight="1">
      <c r="B887" s="142"/>
    </row>
    <row r="888" ht="15.75" customHeight="1">
      <c r="B888" s="142"/>
    </row>
    <row r="889" ht="15.75" customHeight="1">
      <c r="B889" s="142"/>
    </row>
    <row r="890" ht="15.75" customHeight="1">
      <c r="B890" s="142"/>
    </row>
    <row r="891" ht="15.75" customHeight="1">
      <c r="B891" s="142"/>
    </row>
    <row r="892" ht="15.75" customHeight="1">
      <c r="B892" s="142"/>
    </row>
    <row r="893" ht="15.75" customHeight="1">
      <c r="B893" s="142"/>
    </row>
    <row r="894" ht="15.75" customHeight="1">
      <c r="B894" s="142"/>
    </row>
    <row r="895" ht="15.75" customHeight="1">
      <c r="B895" s="142"/>
    </row>
    <row r="896" ht="15.75" customHeight="1">
      <c r="B896" s="142"/>
    </row>
    <row r="897" ht="15.75" customHeight="1">
      <c r="B897" s="142"/>
    </row>
    <row r="898" ht="15.75" customHeight="1">
      <c r="B898" s="142"/>
    </row>
    <row r="899" ht="15.75" customHeight="1">
      <c r="B899" s="142"/>
    </row>
    <row r="900" ht="15.75" customHeight="1">
      <c r="B900" s="142"/>
    </row>
    <row r="901" ht="15.75" customHeight="1">
      <c r="B901" s="142"/>
    </row>
    <row r="902" ht="15.75" customHeight="1">
      <c r="B902" s="142"/>
    </row>
    <row r="903" ht="15.75" customHeight="1">
      <c r="B903" s="142"/>
    </row>
    <row r="904" ht="15.75" customHeight="1">
      <c r="B904" s="142"/>
    </row>
    <row r="905" ht="15.75" customHeight="1">
      <c r="B905" s="142"/>
    </row>
    <row r="906" ht="15.75" customHeight="1">
      <c r="B906" s="142"/>
    </row>
    <row r="907" ht="15.75" customHeight="1">
      <c r="B907" s="142"/>
    </row>
    <row r="908" ht="15.75" customHeight="1">
      <c r="B908" s="142"/>
    </row>
    <row r="909" ht="15.75" customHeight="1">
      <c r="B909" s="142"/>
    </row>
    <row r="910" ht="15.75" customHeight="1">
      <c r="B910" s="142"/>
    </row>
    <row r="911" ht="15.75" customHeight="1">
      <c r="B911" s="142"/>
    </row>
    <row r="912" ht="15.75" customHeight="1">
      <c r="B912" s="142"/>
    </row>
    <row r="913" ht="15.75" customHeight="1">
      <c r="B913" s="142"/>
    </row>
    <row r="914" ht="15.75" customHeight="1">
      <c r="B914" s="142"/>
    </row>
    <row r="915" ht="15.75" customHeight="1">
      <c r="B915" s="142"/>
    </row>
    <row r="916" ht="15.75" customHeight="1">
      <c r="B916" s="142"/>
    </row>
    <row r="917" ht="15.75" customHeight="1">
      <c r="B917" s="142"/>
    </row>
    <row r="918" ht="15.75" customHeight="1">
      <c r="B918" s="142"/>
    </row>
    <row r="919" ht="15.75" customHeight="1">
      <c r="B919" s="142"/>
    </row>
    <row r="920" ht="15.75" customHeight="1">
      <c r="B920" s="142"/>
    </row>
    <row r="921" ht="15.75" customHeight="1">
      <c r="B921" s="142"/>
    </row>
    <row r="922" ht="15.75" customHeight="1">
      <c r="B922" s="142"/>
    </row>
    <row r="923" ht="15.75" customHeight="1">
      <c r="B923" s="142"/>
    </row>
    <row r="924" ht="15.75" customHeight="1">
      <c r="B924" s="142"/>
    </row>
    <row r="925" ht="15.75" customHeight="1">
      <c r="B925" s="142"/>
    </row>
    <row r="926" ht="15.75" customHeight="1">
      <c r="B926" s="142"/>
    </row>
    <row r="927" ht="15.75" customHeight="1">
      <c r="B927" s="142"/>
    </row>
    <row r="928" ht="15.75" customHeight="1">
      <c r="B928" s="142"/>
    </row>
    <row r="929" ht="15.75" customHeight="1">
      <c r="B929" s="142"/>
    </row>
    <row r="930" ht="15.75" customHeight="1">
      <c r="B930" s="142"/>
    </row>
    <row r="931" ht="15.75" customHeight="1">
      <c r="B931" s="142"/>
    </row>
    <row r="932" ht="15.75" customHeight="1">
      <c r="B932" s="142"/>
    </row>
    <row r="933" ht="15.75" customHeight="1">
      <c r="B933" s="142"/>
    </row>
    <row r="934" ht="15.75" customHeight="1">
      <c r="B934" s="142"/>
    </row>
    <row r="935" ht="15.75" customHeight="1">
      <c r="B935" s="142"/>
    </row>
    <row r="936" ht="15.75" customHeight="1">
      <c r="B936" s="142"/>
    </row>
    <row r="937" ht="15.75" customHeight="1">
      <c r="B937" s="142"/>
    </row>
    <row r="938" ht="15.75" customHeight="1">
      <c r="B938" s="142"/>
    </row>
    <row r="939" ht="15.75" customHeight="1">
      <c r="B939" s="142"/>
    </row>
    <row r="940" ht="15.75" customHeight="1">
      <c r="B940" s="142"/>
    </row>
    <row r="941" ht="15.75" customHeight="1">
      <c r="B941" s="142"/>
    </row>
    <row r="942" ht="15.75" customHeight="1">
      <c r="B942" s="142"/>
    </row>
    <row r="943" ht="15.75" customHeight="1">
      <c r="B943" s="142"/>
    </row>
    <row r="944" ht="15.75" customHeight="1">
      <c r="B944" s="142"/>
    </row>
    <row r="945" ht="15.75" customHeight="1">
      <c r="B945" s="142"/>
    </row>
    <row r="946" ht="15.75" customHeight="1">
      <c r="B946" s="142"/>
    </row>
    <row r="947" ht="15.75" customHeight="1">
      <c r="B947" s="142"/>
    </row>
    <row r="948" ht="15.75" customHeight="1">
      <c r="B948" s="142"/>
    </row>
    <row r="949" ht="15.75" customHeight="1">
      <c r="B949" s="142"/>
    </row>
    <row r="950" ht="15.75" customHeight="1">
      <c r="B950" s="142"/>
    </row>
    <row r="951" ht="15.75" customHeight="1">
      <c r="B951" s="142"/>
    </row>
    <row r="952" ht="15.75" customHeight="1">
      <c r="B952" s="142"/>
    </row>
    <row r="953" ht="15.75" customHeight="1">
      <c r="B953" s="142"/>
    </row>
    <row r="954" ht="15.75" customHeight="1">
      <c r="B954" s="142"/>
    </row>
    <row r="955" ht="15.75" customHeight="1">
      <c r="B955" s="142"/>
    </row>
    <row r="956" ht="15.75" customHeight="1">
      <c r="B956" s="142"/>
    </row>
    <row r="957" ht="15.75" customHeight="1">
      <c r="B957" s="142"/>
    </row>
    <row r="958" ht="15.75" customHeight="1">
      <c r="B958" s="142"/>
    </row>
    <row r="959" ht="15.75" customHeight="1">
      <c r="B959" s="142"/>
    </row>
    <row r="960" ht="15.75" customHeight="1">
      <c r="B960" s="142"/>
    </row>
    <row r="961" ht="15.75" customHeight="1">
      <c r="B961" s="142"/>
    </row>
    <row r="962" ht="15.75" customHeight="1">
      <c r="B962" s="142"/>
    </row>
    <row r="963" ht="15.75" customHeight="1">
      <c r="B963" s="142"/>
    </row>
    <row r="964" ht="15.75" customHeight="1">
      <c r="B964" s="142"/>
    </row>
    <row r="965" ht="15.75" customHeight="1">
      <c r="B965" s="142"/>
    </row>
    <row r="966" ht="15.75" customHeight="1">
      <c r="B966" s="142"/>
    </row>
    <row r="967" ht="15.75" customHeight="1">
      <c r="B967" s="142"/>
    </row>
    <row r="968" ht="15.75" customHeight="1">
      <c r="B968" s="142"/>
    </row>
    <row r="969" ht="15.75" customHeight="1">
      <c r="B969" s="142"/>
    </row>
    <row r="970" ht="15.75" customHeight="1">
      <c r="B970" s="142"/>
    </row>
    <row r="971" ht="15.75" customHeight="1">
      <c r="B971" s="142"/>
    </row>
    <row r="972" ht="15.75" customHeight="1">
      <c r="B972" s="142"/>
    </row>
    <row r="973" ht="15.75" customHeight="1">
      <c r="B973" s="142"/>
    </row>
    <row r="974" ht="15.75" customHeight="1">
      <c r="B974" s="142"/>
    </row>
    <row r="975" ht="15.75" customHeight="1">
      <c r="B975" s="142"/>
    </row>
    <row r="976" ht="15.75" customHeight="1">
      <c r="B976" s="142"/>
    </row>
    <row r="977" ht="15.75" customHeight="1">
      <c r="B977" s="142"/>
    </row>
    <row r="978" ht="15.75" customHeight="1">
      <c r="B978" s="142"/>
    </row>
    <row r="979" ht="15.75" customHeight="1">
      <c r="B979" s="142"/>
    </row>
    <row r="980" ht="15.75" customHeight="1">
      <c r="B980" s="142"/>
    </row>
    <row r="981" ht="15.75" customHeight="1">
      <c r="B981" s="142"/>
    </row>
    <row r="982" ht="15.75" customHeight="1">
      <c r="B982" s="142"/>
    </row>
    <row r="983" ht="15.75" customHeight="1">
      <c r="B983" s="142"/>
    </row>
    <row r="984" ht="15.75" customHeight="1">
      <c r="B984" s="142"/>
    </row>
    <row r="985" ht="15.75" customHeight="1">
      <c r="B985" s="142"/>
    </row>
    <row r="986" ht="15.75" customHeight="1">
      <c r="B986" s="142"/>
    </row>
    <row r="987" ht="15.75" customHeight="1">
      <c r="B987" s="142"/>
    </row>
    <row r="988" ht="15.75" customHeight="1">
      <c r="B988" s="142"/>
    </row>
    <row r="989" ht="15.75" customHeight="1">
      <c r="B989" s="142"/>
    </row>
    <row r="990" ht="15.75" customHeight="1">
      <c r="B990" s="142"/>
    </row>
    <row r="991" ht="15.75" customHeight="1">
      <c r="B991" s="142"/>
    </row>
    <row r="992" ht="15.75" customHeight="1">
      <c r="B992" s="142"/>
    </row>
    <row r="993" ht="15.75" customHeight="1">
      <c r="B993" s="142"/>
    </row>
    <row r="994" ht="15.75" customHeight="1">
      <c r="B994" s="142"/>
    </row>
    <row r="995" ht="15.75" customHeight="1">
      <c r="B995" s="142"/>
    </row>
    <row r="996" ht="15.75" customHeight="1">
      <c r="B996" s="142"/>
    </row>
    <row r="997" ht="15.75" customHeight="1">
      <c r="B997" s="142"/>
    </row>
    <row r="998" ht="15.75" customHeight="1">
      <c r="B998" s="142"/>
    </row>
    <row r="999" ht="15.75" customHeight="1">
      <c r="B999" s="142"/>
    </row>
    <row r="1000" ht="15.75" customHeight="1">
      <c r="B1000" s="142"/>
    </row>
  </sheetData>
  <mergeCells count="2">
    <mergeCell ref="A1:C1"/>
    <mergeCell ref="A2:C2"/>
  </mergeCell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tabColor rgb="FF0070C0"/>
    <pageSetUpPr/>
  </sheetPr>
  <sheetViews>
    <sheetView workbookViewId="0"/>
  </sheetViews>
  <sheetFormatPr customHeight="1" defaultColWidth="11.22" defaultRowHeight="15.0"/>
  <cols>
    <col customWidth="1" min="1" max="1" width="37.0"/>
    <col customWidth="1" min="2" max="6" width="11.22"/>
  </cols>
  <sheetData>
    <row r="1" ht="15.75" customHeight="1">
      <c r="A1" s="225" t="s">
        <v>2808</v>
      </c>
    </row>
    <row r="2" ht="15.75" customHeight="1"/>
    <row r="3" ht="15.75" customHeight="1">
      <c r="A3" s="225" t="s">
        <v>2809</v>
      </c>
    </row>
    <row r="4" ht="15.75" customHeight="1">
      <c r="A4" t="s">
        <v>92</v>
      </c>
    </row>
    <row r="5" ht="15.75" customHeight="1">
      <c r="A5" t="s">
        <v>85</v>
      </c>
    </row>
    <row r="6" ht="15.75" customHeight="1">
      <c r="A6" t="s">
        <v>2810</v>
      </c>
    </row>
    <row r="7" ht="15.75" customHeight="1"/>
    <row r="8" ht="15.75" customHeight="1">
      <c r="A8" s="225" t="s">
        <v>2811</v>
      </c>
    </row>
    <row r="9" ht="15.75" customHeight="1">
      <c r="A9" t="s">
        <v>2812</v>
      </c>
    </row>
    <row r="10" ht="15.75" customHeight="1">
      <c r="A10" t="s">
        <v>2813</v>
      </c>
    </row>
    <row r="11" ht="15.75" customHeight="1">
      <c r="A11" t="s">
        <v>2814</v>
      </c>
    </row>
    <row r="12" ht="15.75" customHeight="1">
      <c r="A12" t="s">
        <v>904</v>
      </c>
    </row>
    <row r="13" ht="15.75" customHeight="1"/>
    <row r="14" ht="15.75" customHeight="1">
      <c r="A14" s="225" t="s">
        <v>2815</v>
      </c>
    </row>
    <row r="15" ht="15.75" customHeight="1">
      <c r="A15" t="s">
        <v>2816</v>
      </c>
    </row>
    <row r="16" ht="15.75" customHeight="1">
      <c r="A16" t="s">
        <v>2817</v>
      </c>
    </row>
    <row r="17" ht="15.75" customHeight="1">
      <c r="A17" t="s">
        <v>2818</v>
      </c>
    </row>
    <row r="18" ht="15.75" customHeight="1">
      <c r="A18" t="s">
        <v>2819</v>
      </c>
    </row>
    <row r="19" ht="15.75" customHeight="1">
      <c r="A19" t="s">
        <v>904</v>
      </c>
    </row>
    <row r="20" ht="15.75" customHeight="1"/>
    <row r="21" ht="15.75" customHeight="1">
      <c r="A21" s="225" t="s">
        <v>2820</v>
      </c>
    </row>
    <row r="22" ht="15.75" customHeight="1">
      <c r="A22" t="s">
        <v>2821</v>
      </c>
    </row>
    <row r="23" ht="15.75" customHeight="1">
      <c r="A23" t="s">
        <v>2822</v>
      </c>
    </row>
    <row r="24" ht="15.75" customHeight="1"/>
    <row r="25" ht="15.75" customHeight="1">
      <c r="A25" s="225" t="s">
        <v>2823</v>
      </c>
    </row>
    <row r="26" ht="15.75" customHeight="1">
      <c r="A26" t="s">
        <v>2824</v>
      </c>
    </row>
    <row r="27" ht="15.75" customHeight="1">
      <c r="A27" t="s">
        <v>2825</v>
      </c>
    </row>
    <row r="28" ht="15.75" customHeight="1"/>
    <row r="29" ht="15.75" customHeight="1">
      <c r="A29" s="225" t="s">
        <v>2826</v>
      </c>
    </row>
    <row r="30" ht="15.75" customHeight="1">
      <c r="A30" t="s">
        <v>2827</v>
      </c>
    </row>
    <row r="31" ht="15.75" customHeight="1">
      <c r="A31" t="s">
        <v>2828</v>
      </c>
    </row>
    <row r="32" ht="15.75" customHeight="1"/>
    <row r="33" ht="15.75" customHeight="1">
      <c r="A33" s="225" t="s">
        <v>2829</v>
      </c>
    </row>
    <row r="34" ht="15.75" customHeight="1">
      <c r="A34" t="s">
        <v>2830</v>
      </c>
    </row>
    <row r="35" ht="15.75" customHeight="1">
      <c r="A35" t="s">
        <v>2831</v>
      </c>
    </row>
    <row r="36" ht="15.75" customHeight="1">
      <c r="A36" t="s">
        <v>2832</v>
      </c>
    </row>
    <row r="37" ht="15.75" customHeight="1">
      <c r="A37" t="s">
        <v>925</v>
      </c>
    </row>
    <row r="38" ht="15.75" customHeight="1">
      <c r="A38" t="s">
        <v>2810</v>
      </c>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